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895" windowHeight="7515" tabRatio="387" activeTab="0"/>
  </bookViews>
  <sheets>
    <sheet name="General" sheetId="1" r:id="rId1"/>
    <sheet name="Room" sheetId="2" r:id="rId2"/>
    <sheet name="Course" sheetId="3" r:id="rId3"/>
    <sheet name="instructor" sheetId="4" r:id="rId4"/>
    <sheet name="electives" sheetId="5" r:id="rId5"/>
  </sheets>
  <definedNames>
    <definedName name="_fri1">'General'!$N$9:$P$17</definedName>
    <definedName name="_fri10">'General'!$N$39:$P$46</definedName>
    <definedName name="_fri11">'General'!$N$47:$P$60</definedName>
    <definedName name="_fri12">'General'!$N$61:$P$74</definedName>
    <definedName name="_fri2">'General'!#REF!</definedName>
    <definedName name="_fri3">'General'!$N$18:$P$18</definedName>
    <definedName name="_fri4">'General'!$N$19:$P$27</definedName>
    <definedName name="_fri5">'General'!#REF!</definedName>
    <definedName name="_fri6">'General'!#REF!</definedName>
    <definedName name="_fri7">'General'!$N$28:$P$38</definedName>
    <definedName name="_fri8">'General'!#REF!</definedName>
    <definedName name="_fri9">'General'!#REF!</definedName>
    <definedName name="_mon1">'General'!$B$9:$D$17</definedName>
    <definedName name="_mon10">'General'!$B$39:$D$46</definedName>
    <definedName name="_mon11">'General'!$B$47:$D$60</definedName>
    <definedName name="_mon12">'General'!$B$61:$D$74</definedName>
    <definedName name="_mon2">'General'!#REF!</definedName>
    <definedName name="_mon3">'General'!$B$18:$D$18</definedName>
    <definedName name="_mon4">'General'!$B$19:$D$27</definedName>
    <definedName name="_mon5">'General'!#REF!</definedName>
    <definedName name="_mon6">'General'!#REF!</definedName>
    <definedName name="_mon7">'General'!$B$28:$D$38</definedName>
    <definedName name="_mon8">'General'!#REF!</definedName>
    <definedName name="_mon9">'General'!#REF!</definedName>
    <definedName name="_thu1">'General'!$K$9:$M$17</definedName>
    <definedName name="_thu10">'General'!$K$39:$M$46</definedName>
    <definedName name="_thu11">'General'!$K$47:$M$60</definedName>
    <definedName name="_thu12">'General'!$K$61:$M$74</definedName>
    <definedName name="_thu2">'General'!#REF!</definedName>
    <definedName name="_thu3">'General'!$K$18:$M$18</definedName>
    <definedName name="_thu4">'General'!$K$19:$M$27</definedName>
    <definedName name="_thu5">'General'!#REF!</definedName>
    <definedName name="_thu6">'General'!#REF!</definedName>
    <definedName name="_thu7">'General'!$K$28:$M$38</definedName>
    <definedName name="_thu8">'General'!#REF!</definedName>
    <definedName name="_thu9">'General'!#REF!</definedName>
    <definedName name="_tue1">'General'!$E$9:$G$17</definedName>
    <definedName name="_tue10">'General'!$E$39:$G$46</definedName>
    <definedName name="_tue11">'General'!$E$47:$G$60</definedName>
    <definedName name="_tue12">'General'!$E$61:$G$74</definedName>
    <definedName name="_tue2">'General'!#REF!</definedName>
    <definedName name="_tue3">'General'!$E$18:$G$18</definedName>
    <definedName name="_tue4">'General'!$E$19:$G$27</definedName>
    <definedName name="_tue5">'General'!#REF!</definedName>
    <definedName name="_tue6">'General'!#REF!</definedName>
    <definedName name="_tue7">'General'!$E$28:$G$38</definedName>
    <definedName name="_tue8">'General'!#REF!</definedName>
    <definedName name="_tue9">'General'!#REF!</definedName>
    <definedName name="_wed1">'General'!$H$9:$J$17</definedName>
    <definedName name="_wed10">'General'!$H$39:$J$46</definedName>
    <definedName name="_wed11">'General'!$H$47:$J$60</definedName>
    <definedName name="_wed12">'General'!$H$61:$J$74</definedName>
    <definedName name="_wed2">'General'!#REF!</definedName>
    <definedName name="_wed3">'General'!$H$18:$J$18</definedName>
    <definedName name="_wed4">'General'!$H$19:$J$27</definedName>
    <definedName name="_wed5">'General'!#REF!</definedName>
    <definedName name="_wed6">'General'!#REF!</definedName>
    <definedName name="_wed7">'General'!$H$28:$J$38</definedName>
    <definedName name="_wed8">'General'!#REF!</definedName>
    <definedName name="_wed9">'General'!#REF!</definedName>
    <definedName name="Criteria1">'Course'!$A$1:$A$10</definedName>
    <definedName name="criteria2">'Room'!$A$1:$A$2</definedName>
    <definedName name="criteria3">'instructor'!$A$1:$A$2</definedName>
    <definedName name="MONDAY">"table,"</definedName>
    <definedName name="table">'Course'!$K$31:$O$50</definedName>
    <definedName name="_xlnm.Print_Area" localSheetId="2">'Course'!$C$1:$H$20</definedName>
    <definedName name="_xlnm.Print_Area" localSheetId="0">'General'!$A$1:$P$37</definedName>
    <definedName name="_xlnm.Print_Area" localSheetId="3">'instructor'!$C$3:$H$23</definedName>
    <definedName name="_xlnm.Print_Area" localSheetId="1">'Room'!$C$2:$H$28</definedName>
  </definedNames>
  <calcPr fullCalcOnLoad="1"/>
</workbook>
</file>

<file path=xl/sharedStrings.xml><?xml version="1.0" encoding="utf-8"?>
<sst xmlns="http://schemas.openxmlformats.org/spreadsheetml/2006/main" count="413" uniqueCount="145">
  <si>
    <t>TIME</t>
  </si>
  <si>
    <t>Ins</t>
  </si>
  <si>
    <t>Room</t>
  </si>
  <si>
    <t xml:space="preserve"> </t>
  </si>
  <si>
    <t>CODE</t>
  </si>
  <si>
    <t>ins</t>
  </si>
  <si>
    <t>MONDAY</t>
  </si>
  <si>
    <t>TUESDAY</t>
  </si>
  <si>
    <t>WEDNESDAY</t>
  </si>
  <si>
    <t>THURSDAY</t>
  </si>
  <si>
    <t>FRIDAY</t>
  </si>
  <si>
    <t>ROOM</t>
  </si>
  <si>
    <t>12:00-13:00</t>
  </si>
  <si>
    <t>13:00-14:00</t>
  </si>
  <si>
    <t>09:00-10:00</t>
  </si>
  <si>
    <t>10:00-11:00</t>
  </si>
  <si>
    <t>11:00-12:00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</si>
  <si>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</si>
  <si>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</si>
  <si>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</si>
  <si>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</si>
  <si>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</si>
  <si>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</si>
  <si>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</si>
  <si>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NS</t>
  </si>
  <si>
    <t>ÜAB</t>
  </si>
  <si>
    <t>MÖ</t>
  </si>
  <si>
    <t>TC</t>
  </si>
  <si>
    <t>JRB207.2</t>
  </si>
  <si>
    <t>JRB101.2</t>
  </si>
  <si>
    <t>AB</t>
  </si>
  <si>
    <t>FA</t>
  </si>
  <si>
    <t>PRE403.1</t>
  </si>
  <si>
    <t>RTC307.1</t>
  </si>
  <si>
    <t>PRE303.2/JRB303.2</t>
  </si>
  <si>
    <t>PRE403.2</t>
  </si>
  <si>
    <t>RTC214.1</t>
  </si>
  <si>
    <t>RTC410.1</t>
  </si>
  <si>
    <t>GA</t>
  </si>
  <si>
    <t>PRE309.2/DPY307.2</t>
  </si>
  <si>
    <t>PRE205.1</t>
  </si>
  <si>
    <t>PRE303.1</t>
  </si>
  <si>
    <t>FDD</t>
  </si>
  <si>
    <t>JRB301.2</t>
  </si>
  <si>
    <t>RTC339.1</t>
  </si>
  <si>
    <t>RTC338.1</t>
  </si>
  <si>
    <t>RTC103.1</t>
  </si>
  <si>
    <t>PRE211.1(BUS205.1)</t>
  </si>
  <si>
    <t>PRE307.1 (BUS301.1)</t>
  </si>
  <si>
    <t>AAJ</t>
  </si>
  <si>
    <t>PF</t>
  </si>
  <si>
    <t>PRE311.1 (BUS315.1)</t>
  </si>
  <si>
    <t>PRE201.2/DPY207.2</t>
  </si>
  <si>
    <t>PRE211.2/DPY205.2/YMB201</t>
  </si>
  <si>
    <t>PRE305.1</t>
  </si>
  <si>
    <t>PRE307.2/DPY303.2/YMB301.2</t>
  </si>
  <si>
    <t>YMB305.2</t>
  </si>
  <si>
    <t>JRB405.2</t>
  </si>
  <si>
    <t>DPY301.2/YMB307.2</t>
  </si>
  <si>
    <t>RTC201.1</t>
  </si>
  <si>
    <t>JRB307.2</t>
  </si>
  <si>
    <t>JRB305.2</t>
  </si>
  <si>
    <t>YMB303.2</t>
  </si>
  <si>
    <t>JRB201.2</t>
  </si>
  <si>
    <t>JRB309.2/MIB309.2</t>
  </si>
  <si>
    <t>RTC407.1</t>
  </si>
  <si>
    <t>PRE203.2/DPY203/YMB203</t>
  </si>
  <si>
    <t>SŞ</t>
  </si>
  <si>
    <t>OHA</t>
  </si>
  <si>
    <t>EAB</t>
  </si>
  <si>
    <t>JRB209.2/MIB301.2</t>
  </si>
  <si>
    <t>DG</t>
  </si>
  <si>
    <t>YMB309.2</t>
  </si>
  <si>
    <t>MD</t>
  </si>
  <si>
    <t>MY</t>
  </si>
  <si>
    <t>YMB103.2</t>
  </si>
  <si>
    <t>JRB203.2</t>
  </si>
  <si>
    <t>DPY405.2</t>
  </si>
  <si>
    <t>PRE309.1 (BUS303.1)</t>
  </si>
  <si>
    <t>ONLINE</t>
  </si>
  <si>
    <t>AA</t>
  </si>
  <si>
    <t>DI</t>
  </si>
  <si>
    <t>PRE209.1/RTC211.1 (ECON101)</t>
  </si>
  <si>
    <t>PRE205.2/JRB205/YMB209/MIB305</t>
  </si>
  <si>
    <t>BŞ</t>
  </si>
  <si>
    <t>PRE209.2/MIB207/DPY201.2/     YMB207</t>
  </si>
  <si>
    <t>DPY209/MIB303.2/YMB101.2</t>
  </si>
  <si>
    <t>EKB</t>
  </si>
  <si>
    <t>NU</t>
  </si>
  <si>
    <t>NP</t>
  </si>
  <si>
    <t>PRE401.1/APRE207.1</t>
  </si>
  <si>
    <t>PRE405.1/APRE205.1</t>
  </si>
  <si>
    <t>PRE405.2/APRE205.2</t>
  </si>
  <si>
    <t>PRE401.2/DPY401.2/APRE207.2</t>
  </si>
  <si>
    <t>RTC306.1/APRE203.1</t>
  </si>
  <si>
    <t>PRE101.1/RTC101.1/APRE101.1</t>
  </si>
  <si>
    <t>MIB401.2</t>
  </si>
  <si>
    <t>JRB401.2</t>
  </si>
  <si>
    <t>APRE201.2</t>
  </si>
  <si>
    <t>RTC304.1/APRE201.1</t>
  </si>
  <si>
    <t>BTG</t>
  </si>
  <si>
    <t>PE</t>
  </si>
  <si>
    <t>TP 104</t>
  </si>
  <si>
    <t>TP 205</t>
  </si>
  <si>
    <t>TP 206</t>
  </si>
  <si>
    <t>APRE203.2</t>
  </si>
  <si>
    <t xml:space="preserve">PRE203.1 </t>
  </si>
  <si>
    <t>BEŞERİ B.</t>
  </si>
  <si>
    <t>GNI</t>
  </si>
  <si>
    <t>PRE101.2/JRB103/DPY101/   MIB101/APRE101.2/ASMU101</t>
  </si>
  <si>
    <t>PSYC100.2/DPY105.2/ASMU105.2 (Türkçe)</t>
  </si>
  <si>
    <t>PRE103.2/DPY103/ABSM101.2/ASMU103</t>
  </si>
  <si>
    <t>PRE311.2/DPY305.2/YMB205.2/  ASMU201</t>
  </si>
  <si>
    <t>YMB401.2/ASMU203.2</t>
  </si>
  <si>
    <t>DPY403.2/ASMU205.2</t>
  </si>
  <si>
    <t>PRE305.2/ASMU207.2</t>
  </si>
  <si>
    <t>BY</t>
  </si>
  <si>
    <t>TP303</t>
  </si>
  <si>
    <t xml:space="preserve">PRE201.1 (POLS101) </t>
  </si>
  <si>
    <t>TP103</t>
  </si>
  <si>
    <t>JRB403.2</t>
  </si>
  <si>
    <t>A1.11</t>
  </si>
  <si>
    <t>PRE103.1/ABSM101.1(BUS101.1)</t>
  </si>
  <si>
    <t>CK</t>
  </si>
  <si>
    <t>TP205</t>
  </si>
  <si>
    <t xml:space="preserve">PSYC100 .2 (English) </t>
  </si>
  <si>
    <t>Tuesday (25 Ocak/ January 2022)</t>
  </si>
  <si>
    <t>Wednesday (26 Ocak/January 2022)</t>
  </si>
  <si>
    <t xml:space="preserve">Monday (24 Ocak/ January 2022) </t>
  </si>
  <si>
    <t>Thursday (27 Ocak/January 2022)</t>
  </si>
  <si>
    <t>Friday (28 Ocak/January 2022)</t>
  </si>
  <si>
    <t xml:space="preserve">FRIDAY (21 Ocak/ January 2022) </t>
  </si>
  <si>
    <t>11:00-12:30</t>
  </si>
  <si>
    <t>A3.6/A3.7</t>
  </si>
  <si>
    <t>A3.7/A3.6</t>
  </si>
  <si>
    <t>13:00-14:30</t>
  </si>
  <si>
    <t>A3.2-3.6-3.7</t>
  </si>
  <si>
    <t>A2.9/3.6/3.7</t>
  </si>
  <si>
    <t>15:00-16:30</t>
  </si>
  <si>
    <t>A3.7/3.6/3.2</t>
  </si>
  <si>
    <t>A2.9/3.2/3.3</t>
  </si>
  <si>
    <t>12:00-12:45</t>
  </si>
  <si>
    <t>10:30-11:30</t>
  </si>
  <si>
    <t>HOCAYLA İRTİTABA GEÇİN!!!</t>
  </si>
  <si>
    <t xml:space="preserve">İLETİŞİM FAKÜLTESİ 2021-202 GÜZ DÖNEMİ FİNAL SINAVLARI PROGRAMI / FACULTY OF COMMUNICATION 2021-2022 FALL SEMESTER FINAL EXAM TIME-TABLE 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</si>
</sst>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US$&quot;#,##0;\-&quot;US$&quot;#,##0"/>
    <numFmt numFmtId="189" formatCode="&quot;US$&quot;#,##0;[Red]\-&quot;US$&quot;#,##0"/>
    <numFmt numFmtId="190" formatCode="&quot;US$&quot;#,##0.00;\-&quot;US$&quot;#,##0.00"/>
    <numFmt numFmtId="191" formatCode="&quot;US$&quot;#,##0.00;[Red]\-&quot;US$&quot;#,##0.00"/>
    <numFmt numFmtId="192" formatCode="_-&quot;US$&quot;* #,##0_-;\-&quot;US$&quot;* #,##0_-;_-&quot;US$&quot;* &quot;-&quot;_-;_-@_-"/>
    <numFmt numFmtId="193" formatCode="_-&quot;US$&quot;* #,##0.00_-;\-&quot;US$&quot;* #,##0.00_-;_-&quot;US$&quot;* &quot;-&quot;??_-;_-@_-"/>
    <numFmt numFmtId="194" formatCode="B2dd/mmm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.95"/>
      <color indexed="8"/>
      <name val="Arial"/>
      <family val="2"/>
    </font>
    <font>
      <sz val="12"/>
      <name val="Arial"/>
      <family val="2"/>
    </font>
    <font>
      <b/>
      <sz val="48"/>
      <name val="Arial"/>
      <family val="2"/>
    </font>
    <font>
      <b/>
      <sz val="24"/>
      <name val="Times New Roman"/>
      <family val="1"/>
    </font>
    <font>
      <b/>
      <u val="single"/>
      <sz val="24"/>
      <name val="Times New Roman"/>
      <family val="1"/>
    </font>
    <font>
      <b/>
      <i/>
      <sz val="24"/>
      <name val="Times New Roman"/>
      <family val="1"/>
    </font>
    <font>
      <b/>
      <sz val="24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Times New Roman"/>
      <family val="1"/>
    </font>
    <font>
      <b/>
      <sz val="24"/>
      <color indexed="8"/>
      <name val="Times New Roman"/>
      <family val="1"/>
    </font>
    <font>
      <b/>
      <sz val="24"/>
      <color indexed="23"/>
      <name val="Times New Roman"/>
      <family val="1"/>
    </font>
    <font>
      <b/>
      <i/>
      <sz val="24"/>
      <color indexed="8"/>
      <name val="Times New Roman"/>
      <family val="1"/>
    </font>
    <font>
      <b/>
      <sz val="2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FF0000"/>
      <name val="Times New Roman"/>
      <family val="1"/>
    </font>
    <font>
      <b/>
      <sz val="24"/>
      <color theme="1"/>
      <name val="Times New Roman"/>
      <family val="1"/>
    </font>
    <font>
      <b/>
      <sz val="24"/>
      <color theme="1" tint="0.49998000264167786"/>
      <name val="Times New Roman"/>
      <family val="1"/>
    </font>
    <font>
      <b/>
      <i/>
      <sz val="24"/>
      <color theme="1"/>
      <name val="Times New Roman"/>
      <family val="1"/>
    </font>
    <font>
      <b/>
      <sz val="28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 style="thin"/>
      <right style="double"/>
      <top style="thin"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thin"/>
      <right style="double"/>
      <top/>
      <bottom style="double"/>
    </border>
    <border>
      <left style="thin"/>
      <right style="double"/>
      <top/>
      <bottom style="thin"/>
    </border>
    <border>
      <left style="double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 style="thin"/>
      <top style="thick"/>
      <bottom style="thick"/>
    </border>
    <border>
      <left/>
      <right style="double"/>
      <top style="thick"/>
      <bottom style="thick"/>
    </border>
    <border>
      <left/>
      <right style="double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double"/>
      <right/>
      <top style="thin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thick"/>
    </border>
    <border>
      <left/>
      <right/>
      <top/>
      <bottom style="thick"/>
    </border>
    <border>
      <left/>
      <right style="double"/>
      <top/>
      <bottom style="thick"/>
    </border>
    <border>
      <left style="double"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Alignment="1">
      <alignment horizontal="right"/>
    </xf>
    <xf numFmtId="0" fontId="3" fillId="0" borderId="21" xfId="0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11" fillId="33" borderId="10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11" fillId="34" borderId="18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left" vertical="center"/>
    </xf>
    <xf numFmtId="16" fontId="11" fillId="34" borderId="30" xfId="0" applyNumberFormat="1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/>
    </xf>
    <xf numFmtId="16" fontId="57" fillId="33" borderId="10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0" fontId="11" fillId="33" borderId="3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0" xfId="0" applyFont="1" applyFill="1" applyAlignment="1">
      <alignment horizontal="left" vertical="center"/>
    </xf>
    <xf numFmtId="0" fontId="11" fillId="33" borderId="10" xfId="0" applyFont="1" applyFill="1" applyBorder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2" fillId="33" borderId="31" xfId="0" applyFont="1" applyFill="1" applyBorder="1" applyAlignment="1">
      <alignment/>
    </xf>
    <xf numFmtId="0" fontId="57" fillId="33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left" vertical="center"/>
    </xf>
    <xf numFmtId="0" fontId="11" fillId="35" borderId="0" xfId="0" applyFont="1" applyFill="1" applyAlignment="1">
      <alignment/>
    </xf>
    <xf numFmtId="0" fontId="11" fillId="34" borderId="30" xfId="0" applyFont="1" applyFill="1" applyBorder="1" applyAlignment="1">
      <alignment horizontal="left" vertical="center"/>
    </xf>
    <xf numFmtId="0" fontId="58" fillId="33" borderId="11" xfId="0" applyFont="1" applyFill="1" applyBorder="1" applyAlignment="1">
      <alignment horizontal="left" vertical="center" wrapText="1"/>
    </xf>
    <xf numFmtId="0" fontId="58" fillId="33" borderId="0" xfId="0" applyFont="1" applyFill="1" applyAlignment="1">
      <alignment vertical="center"/>
    </xf>
    <xf numFmtId="0" fontId="59" fillId="33" borderId="10" xfId="0" applyFont="1" applyFill="1" applyBorder="1" applyAlignment="1">
      <alignment horizontal="left" vertical="center" wrapText="1"/>
    </xf>
    <xf numFmtId="0" fontId="60" fillId="33" borderId="18" xfId="0" applyFont="1" applyFill="1" applyBorder="1" applyAlignment="1">
      <alignment horizontal="left" vertical="center"/>
    </xf>
    <xf numFmtId="0" fontId="60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left" vertical="center"/>
    </xf>
    <xf numFmtId="0" fontId="11" fillId="33" borderId="31" xfId="0" applyFont="1" applyFill="1" applyBorder="1" applyAlignment="1">
      <alignment horizontal="left" vertical="center"/>
    </xf>
    <xf numFmtId="0" fontId="57" fillId="33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11" fillId="33" borderId="10" xfId="0" applyFont="1" applyFill="1" applyBorder="1" applyAlignment="1">
      <alignment horizontal="left" vertical="center" wrapText="1"/>
    </xf>
    <xf numFmtId="0" fontId="11" fillId="0" borderId="18" xfId="0" applyFont="1" applyBorder="1" applyAlignment="1">
      <alignment/>
    </xf>
    <xf numFmtId="0" fontId="11" fillId="33" borderId="18" xfId="0" applyFont="1" applyFill="1" applyBorder="1" applyAlignment="1">
      <alignment horizontal="left" vertical="center" wrapText="1"/>
    </xf>
    <xf numFmtId="0" fontId="11" fillId="33" borderId="18" xfId="0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34" borderId="10" xfId="0" applyFont="1" applyFill="1" applyBorder="1" applyAlignment="1">
      <alignment horizontal="left" vertical="center"/>
    </xf>
    <xf numFmtId="0" fontId="11" fillId="34" borderId="30" xfId="0" applyFont="1" applyFill="1" applyBorder="1" applyAlignment="1">
      <alignment horizontal="left" vertical="center"/>
    </xf>
    <xf numFmtId="0" fontId="57" fillId="33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58" fillId="33" borderId="10" xfId="0" applyFont="1" applyFill="1" applyBorder="1" applyAlignment="1">
      <alignment/>
    </xf>
    <xf numFmtId="0" fontId="58" fillId="33" borderId="10" xfId="0" applyFont="1" applyFill="1" applyBorder="1" applyAlignment="1">
      <alignment horizontal="left" vertical="center"/>
    </xf>
    <xf numFmtId="0" fontId="58" fillId="33" borderId="10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/>
    </xf>
    <xf numFmtId="0" fontId="58" fillId="33" borderId="0" xfId="0" applyFont="1" applyFill="1" applyAlignment="1">
      <alignment/>
    </xf>
    <xf numFmtId="0" fontId="58" fillId="33" borderId="10" xfId="0" applyFont="1" applyFill="1" applyBorder="1" applyAlignment="1">
      <alignment horizontal="left" vertical="center"/>
    </xf>
    <xf numFmtId="0" fontId="58" fillId="33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/>
    </xf>
    <xf numFmtId="0" fontId="57" fillId="33" borderId="10" xfId="0" applyFont="1" applyFill="1" applyBorder="1" applyAlignment="1">
      <alignment/>
    </xf>
    <xf numFmtId="0" fontId="57" fillId="33" borderId="10" xfId="0" applyFont="1" applyFill="1" applyBorder="1" applyAlignment="1">
      <alignment wrapText="1"/>
    </xf>
    <xf numFmtId="0" fontId="14" fillId="36" borderId="0" xfId="0" applyFont="1" applyFill="1" applyAlignment="1">
      <alignment/>
    </xf>
    <xf numFmtId="0" fontId="11" fillId="33" borderId="10" xfId="0" applyFont="1" applyFill="1" applyBorder="1" applyAlignment="1">
      <alignment horizontal="center" vertical="center"/>
    </xf>
    <xf numFmtId="16" fontId="61" fillId="36" borderId="30" xfId="0" applyNumberFormat="1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left" vertical="center"/>
    </xf>
    <xf numFmtId="0" fontId="11" fillId="34" borderId="0" xfId="0" applyFont="1" applyFill="1" applyAlignment="1">
      <alignment horizontal="left" vertical="center"/>
    </xf>
    <xf numFmtId="0" fontId="11" fillId="34" borderId="0" xfId="0" applyFont="1" applyFill="1" applyAlignment="1">
      <alignment horizontal="left" vertical="center"/>
    </xf>
    <xf numFmtId="0" fontId="57" fillId="33" borderId="18" xfId="0" applyFont="1" applyFill="1" applyBorder="1" applyAlignment="1">
      <alignment/>
    </xf>
    <xf numFmtId="0" fontId="57" fillId="33" borderId="18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/>
    </xf>
    <xf numFmtId="0" fontId="61" fillId="36" borderId="18" xfId="0" applyFont="1" applyFill="1" applyBorder="1" applyAlignment="1">
      <alignment horizontal="center" vertical="center"/>
    </xf>
    <xf numFmtId="0" fontId="57" fillId="33" borderId="18" xfId="0" applyFont="1" applyFill="1" applyBorder="1" applyAlignment="1">
      <alignment vertical="center" wrapText="1"/>
    </xf>
    <xf numFmtId="0" fontId="61" fillId="36" borderId="10" xfId="0" applyFont="1" applyFill="1" applyBorder="1" applyAlignment="1">
      <alignment horizontal="center" vertical="center"/>
    </xf>
    <xf numFmtId="0" fontId="57" fillId="33" borderId="30" xfId="0" applyFont="1" applyFill="1" applyBorder="1" applyAlignment="1">
      <alignment vertical="center"/>
    </xf>
    <xf numFmtId="0" fontId="57" fillId="33" borderId="10" xfId="0" applyFont="1" applyFill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13" fillId="36" borderId="10" xfId="0" applyFont="1" applyFill="1" applyBorder="1" applyAlignment="1">
      <alignment horizontal="left" vertical="center"/>
    </xf>
    <xf numFmtId="0" fontId="13" fillId="36" borderId="10" xfId="0" applyFont="1" applyFill="1" applyBorder="1" applyAlignment="1">
      <alignment horizontal="left" vertical="center" wrapText="1"/>
    </xf>
    <xf numFmtId="0" fontId="60" fillId="36" borderId="18" xfId="0" applyFont="1" applyFill="1" applyBorder="1" applyAlignment="1">
      <alignment horizontal="left" vertical="center"/>
    </xf>
    <xf numFmtId="0" fontId="60" fillId="36" borderId="10" xfId="0" applyFont="1" applyFill="1" applyBorder="1" applyAlignment="1">
      <alignment/>
    </xf>
    <xf numFmtId="0" fontId="11" fillId="37" borderId="0" xfId="0" applyFont="1" applyFill="1" applyAlignment="1">
      <alignment horizontal="center" vertical="center"/>
    </xf>
    <xf numFmtId="0" fontId="61" fillId="33" borderId="30" xfId="0" applyFont="1" applyFill="1" applyBorder="1" applyAlignment="1">
      <alignment horizontal="center" vertical="center"/>
    </xf>
    <xf numFmtId="0" fontId="61" fillId="33" borderId="31" xfId="0" applyFont="1" applyFill="1" applyBorder="1" applyAlignment="1">
      <alignment horizontal="center" vertical="center"/>
    </xf>
    <xf numFmtId="20" fontId="4" fillId="0" borderId="32" xfId="0" applyNumberFormat="1" applyFont="1" applyBorder="1" applyAlignment="1">
      <alignment horizontal="center" vertical="center"/>
    </xf>
    <xf numFmtId="20" fontId="4" fillId="0" borderId="33" xfId="0" applyNumberFormat="1" applyFont="1" applyBorder="1" applyAlignment="1">
      <alignment horizontal="center" vertical="center"/>
    </xf>
    <xf numFmtId="20" fontId="4" fillId="0" borderId="3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20" fontId="4" fillId="0" borderId="43" xfId="0" applyNumberFormat="1" applyFont="1" applyBorder="1" applyAlignment="1">
      <alignment horizontal="center" vertic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9" fillId="0" borderId="3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20" fontId="3" fillId="0" borderId="18" xfId="0" applyNumberFormat="1" applyFont="1" applyBorder="1" applyAlignment="1">
      <alignment horizontal="center" vertical="top"/>
    </xf>
    <xf numFmtId="20" fontId="4" fillId="0" borderId="34" xfId="0" applyNumberFormat="1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20" fontId="4" fillId="0" borderId="43" xfId="0" applyNumberFormat="1" applyFont="1" applyBorder="1" applyAlignment="1">
      <alignment horizontal="center" vertical="top"/>
    </xf>
    <xf numFmtId="0" fontId="4" fillId="0" borderId="36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75"/>
  <sheetViews>
    <sheetView tabSelected="1" view="pageBreakPreview" zoomScale="40" zoomScaleNormal="70" zoomScaleSheetLayoutView="40" workbookViewId="0" topLeftCell="A1">
      <selection activeCell="A1" sqref="A1:P2"/>
    </sheetView>
  </sheetViews>
  <sheetFormatPr defaultColWidth="9.140625" defaultRowHeight="39.75" customHeight="1"/>
  <cols>
    <col min="1" max="1" width="38.8515625" style="48" customWidth="1"/>
    <col min="2" max="2" width="67.421875" style="48" customWidth="1"/>
    <col min="3" max="3" width="12.28125" style="48" customWidth="1"/>
    <col min="4" max="4" width="25.7109375" style="86" customWidth="1"/>
    <col min="5" max="5" width="67.421875" style="48" customWidth="1"/>
    <col min="6" max="6" width="11.00390625" style="48" customWidth="1"/>
    <col min="7" max="7" width="27.140625" style="86" customWidth="1"/>
    <col min="8" max="8" width="72.8515625" style="48" customWidth="1"/>
    <col min="9" max="9" width="11.57421875" style="48" customWidth="1"/>
    <col min="10" max="10" width="28.7109375" style="86" customWidth="1"/>
    <col min="11" max="11" width="70.28125" style="48" customWidth="1"/>
    <col min="12" max="12" width="12.140625" style="48" customWidth="1"/>
    <col min="13" max="13" width="20.421875" style="86" customWidth="1"/>
    <col min="14" max="14" width="79.7109375" style="48" customWidth="1"/>
    <col min="15" max="15" width="12.00390625" style="48" customWidth="1"/>
    <col min="16" max="16" width="25.57421875" style="86" customWidth="1"/>
    <col min="17" max="16384" width="9.140625" style="48" customWidth="1"/>
  </cols>
  <sheetData>
    <row r="1" spans="1:16" ht="39.75" customHeight="1">
      <c r="A1" s="122" t="s">
        <v>144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ht="39.7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ht="60.75" customHeight="1">
      <c r="A3" s="49" t="s">
        <v>0</v>
      </c>
      <c r="B3" s="106" t="s">
        <v>131</v>
      </c>
      <c r="C3" s="49" t="s">
        <v>1</v>
      </c>
      <c r="D3" s="49" t="s">
        <v>2</v>
      </c>
      <c r="E3" s="104"/>
      <c r="F3" s="104"/>
      <c r="G3" s="104"/>
      <c r="H3" s="104"/>
      <c r="I3" s="104"/>
      <c r="J3" s="104"/>
      <c r="K3" s="104"/>
      <c r="L3" s="104"/>
      <c r="M3" s="104"/>
      <c r="N3" s="123" t="s">
        <v>143</v>
      </c>
      <c r="O3" s="124"/>
      <c r="P3" s="104"/>
    </row>
    <row r="4" spans="1:16" ht="68.25" customHeight="1">
      <c r="A4" s="105" t="s">
        <v>14</v>
      </c>
      <c r="B4" s="68" t="s">
        <v>125</v>
      </c>
      <c r="C4" s="101" t="s">
        <v>101</v>
      </c>
      <c r="D4" s="54" t="s">
        <v>102</v>
      </c>
      <c r="E4" s="104"/>
      <c r="F4" s="104"/>
      <c r="G4" s="104"/>
      <c r="H4" s="104"/>
      <c r="I4" s="104"/>
      <c r="J4" s="104"/>
      <c r="K4" s="104"/>
      <c r="L4" s="104"/>
      <c r="M4" s="104"/>
      <c r="N4" s="118" t="s">
        <v>64</v>
      </c>
      <c r="O4" s="119" t="s">
        <v>31</v>
      </c>
      <c r="P4" s="104"/>
    </row>
    <row r="5" spans="1:16" ht="66" customHeight="1">
      <c r="A5" s="47" t="s">
        <v>3</v>
      </c>
      <c r="B5" s="102" t="s">
        <v>110</v>
      </c>
      <c r="C5" s="101" t="s">
        <v>116</v>
      </c>
      <c r="D5" s="60" t="s">
        <v>103</v>
      </c>
      <c r="E5" s="104"/>
      <c r="F5" s="104"/>
      <c r="G5" s="104"/>
      <c r="H5" s="104"/>
      <c r="I5" s="104"/>
      <c r="J5" s="104"/>
      <c r="K5" s="104"/>
      <c r="L5" s="104"/>
      <c r="M5" s="104"/>
      <c r="N5" s="120" t="s">
        <v>40</v>
      </c>
      <c r="O5" s="121" t="s">
        <v>31</v>
      </c>
      <c r="P5" s="104"/>
    </row>
    <row r="6" spans="1:16" ht="66" customHeight="1">
      <c r="A6" s="114" t="s">
        <v>142</v>
      </c>
      <c r="B6" s="115" t="s">
        <v>66</v>
      </c>
      <c r="C6" s="116" t="s">
        <v>67</v>
      </c>
      <c r="D6" s="117" t="s">
        <v>102</v>
      </c>
      <c r="E6" s="111"/>
      <c r="F6" s="111"/>
      <c r="G6" s="111"/>
      <c r="H6" s="111"/>
      <c r="I6" s="111"/>
      <c r="J6" s="111"/>
      <c r="K6" s="111"/>
      <c r="L6" s="111"/>
      <c r="M6" s="111"/>
      <c r="N6" s="118" t="s">
        <v>83</v>
      </c>
      <c r="O6" s="118" t="s">
        <v>31</v>
      </c>
      <c r="P6" s="111"/>
    </row>
    <row r="7" spans="1:16" ht="66" customHeight="1">
      <c r="A7" s="112" t="s">
        <v>141</v>
      </c>
      <c r="B7" s="113" t="s">
        <v>43</v>
      </c>
      <c r="C7" s="109" t="s">
        <v>38</v>
      </c>
      <c r="D7" s="110" t="s">
        <v>117</v>
      </c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</row>
    <row r="8" spans="1:16" ht="49.5" customHeight="1">
      <c r="A8" s="49" t="s">
        <v>0</v>
      </c>
      <c r="B8" s="49" t="s">
        <v>128</v>
      </c>
      <c r="C8" s="49" t="s">
        <v>1</v>
      </c>
      <c r="D8" s="49"/>
      <c r="E8" s="49" t="s">
        <v>126</v>
      </c>
      <c r="F8" s="49" t="s">
        <v>1</v>
      </c>
      <c r="G8" s="49" t="s">
        <v>2</v>
      </c>
      <c r="H8" s="49" t="s">
        <v>127</v>
      </c>
      <c r="I8" s="49" t="s">
        <v>1</v>
      </c>
      <c r="J8" s="49" t="s">
        <v>2</v>
      </c>
      <c r="K8" s="49" t="s">
        <v>129</v>
      </c>
      <c r="L8" s="49" t="s">
        <v>1</v>
      </c>
      <c r="M8" s="49" t="s">
        <v>2</v>
      </c>
      <c r="N8" s="49" t="s">
        <v>130</v>
      </c>
      <c r="O8" s="49" t="s">
        <v>1</v>
      </c>
      <c r="P8" s="49" t="s">
        <v>2</v>
      </c>
    </row>
    <row r="9" spans="1:16" ht="49.5" customHeight="1">
      <c r="A9" s="50"/>
      <c r="B9" s="47" t="s">
        <v>4</v>
      </c>
      <c r="C9" s="47" t="s">
        <v>5</v>
      </c>
      <c r="D9" s="47" t="s">
        <v>2</v>
      </c>
      <c r="E9" s="47" t="s">
        <v>4</v>
      </c>
      <c r="F9" s="47" t="s">
        <v>5</v>
      </c>
      <c r="G9" s="47" t="s">
        <v>2</v>
      </c>
      <c r="H9" s="47" t="s">
        <v>4</v>
      </c>
      <c r="I9" s="47" t="s">
        <v>5</v>
      </c>
      <c r="J9" s="47" t="s">
        <v>2</v>
      </c>
      <c r="K9" s="47" t="s">
        <v>4</v>
      </c>
      <c r="L9" s="47" t="s">
        <v>5</v>
      </c>
      <c r="M9" s="47" t="s">
        <v>2</v>
      </c>
      <c r="N9" s="47" t="s">
        <v>4</v>
      </c>
      <c r="O9" s="47" t="s">
        <v>5</v>
      </c>
      <c r="P9" s="47" t="s">
        <v>2</v>
      </c>
    </row>
    <row r="10" spans="1:16" ht="64.5" customHeight="1">
      <c r="A10" s="51" t="s">
        <v>15</v>
      </c>
      <c r="B10" s="68"/>
      <c r="C10" s="101"/>
      <c r="D10" s="54" t="s">
        <v>102</v>
      </c>
      <c r="E10" s="53"/>
      <c r="F10" s="55"/>
      <c r="G10" s="54" t="s">
        <v>102</v>
      </c>
      <c r="H10" s="52" t="s">
        <v>111</v>
      </c>
      <c r="I10" s="47" t="s">
        <v>74</v>
      </c>
      <c r="J10" s="54" t="s">
        <v>102</v>
      </c>
      <c r="K10" s="47" t="s">
        <v>41</v>
      </c>
      <c r="L10" s="47" t="s">
        <v>42</v>
      </c>
      <c r="M10" s="54" t="s">
        <v>102</v>
      </c>
      <c r="N10" s="56" t="s">
        <v>66</v>
      </c>
      <c r="O10" s="57" t="s">
        <v>67</v>
      </c>
      <c r="P10" s="54" t="s">
        <v>102</v>
      </c>
    </row>
    <row r="11" spans="1:16" ht="60.75" customHeight="1">
      <c r="A11" s="58" t="s">
        <v>3</v>
      </c>
      <c r="B11" s="102"/>
      <c r="C11" s="101"/>
      <c r="D11" s="60" t="s">
        <v>103</v>
      </c>
      <c r="E11" s="61" t="s">
        <v>63</v>
      </c>
      <c r="F11" s="61" t="s">
        <v>30</v>
      </c>
      <c r="G11" s="60" t="s">
        <v>103</v>
      </c>
      <c r="H11" s="62" t="s">
        <v>57</v>
      </c>
      <c r="I11" s="62" t="s">
        <v>30</v>
      </c>
      <c r="J11" s="60" t="s">
        <v>103</v>
      </c>
      <c r="K11" s="47" t="s">
        <v>59</v>
      </c>
      <c r="L11" s="52" t="s">
        <v>100</v>
      </c>
      <c r="M11" s="60" t="s">
        <v>103</v>
      </c>
      <c r="N11" s="59" t="s">
        <v>54</v>
      </c>
      <c r="O11" s="47" t="s">
        <v>25</v>
      </c>
      <c r="P11" s="60" t="s">
        <v>103</v>
      </c>
    </row>
    <row r="12" spans="1:16" ht="49.5" customHeight="1">
      <c r="A12" s="58" t="s">
        <v>3</v>
      </c>
      <c r="B12" s="87"/>
      <c r="C12" s="87"/>
      <c r="D12" s="54" t="s">
        <v>104</v>
      </c>
      <c r="E12" s="53" t="s">
        <v>98</v>
      </c>
      <c r="F12" s="55" t="s">
        <v>24</v>
      </c>
      <c r="G12" s="54" t="s">
        <v>104</v>
      </c>
      <c r="H12" s="52" t="s">
        <v>90</v>
      </c>
      <c r="I12" s="52" t="s">
        <v>42</v>
      </c>
      <c r="J12" s="54" t="s">
        <v>104</v>
      </c>
      <c r="K12" s="98" t="s">
        <v>97</v>
      </c>
      <c r="L12" s="99" t="s">
        <v>71</v>
      </c>
      <c r="M12" s="54" t="s">
        <v>104</v>
      </c>
      <c r="N12" s="63"/>
      <c r="O12" s="64"/>
      <c r="P12" s="54" t="s">
        <v>104</v>
      </c>
    </row>
    <row r="13" spans="1:16" ht="49.5" customHeight="1">
      <c r="A13" s="58"/>
      <c r="B13" s="52" t="s">
        <v>36</v>
      </c>
      <c r="C13" s="52" t="s">
        <v>87</v>
      </c>
      <c r="D13" s="60" t="s">
        <v>117</v>
      </c>
      <c r="E13" s="65" t="s">
        <v>65</v>
      </c>
      <c r="F13" s="59" t="s">
        <v>100</v>
      </c>
      <c r="G13" s="60" t="s">
        <v>117</v>
      </c>
      <c r="H13" s="53" t="s">
        <v>33</v>
      </c>
      <c r="I13" s="53" t="s">
        <v>100</v>
      </c>
      <c r="J13" s="60" t="s">
        <v>117</v>
      </c>
      <c r="K13" s="47" t="s">
        <v>37</v>
      </c>
      <c r="L13" s="47" t="s">
        <v>87</v>
      </c>
      <c r="M13" s="60" t="s">
        <v>117</v>
      </c>
      <c r="N13" s="53"/>
      <c r="O13" s="55"/>
      <c r="P13" s="60" t="s">
        <v>117</v>
      </c>
    </row>
    <row r="14" spans="1:16" ht="49.5" customHeight="1">
      <c r="A14" s="58"/>
      <c r="B14" s="53"/>
      <c r="C14" s="53"/>
      <c r="D14" s="60" t="s">
        <v>121</v>
      </c>
      <c r="E14" s="53"/>
      <c r="F14" s="53"/>
      <c r="G14" s="60" t="s">
        <v>121</v>
      </c>
      <c r="I14" s="87"/>
      <c r="J14" s="60" t="s">
        <v>121</v>
      </c>
      <c r="K14" s="66" t="s">
        <v>105</v>
      </c>
      <c r="L14" s="67" t="s">
        <v>30</v>
      </c>
      <c r="M14" s="60" t="s">
        <v>121</v>
      </c>
      <c r="N14" s="47" t="s">
        <v>75</v>
      </c>
      <c r="O14" s="47" t="s">
        <v>74</v>
      </c>
      <c r="P14" s="60" t="s">
        <v>121</v>
      </c>
    </row>
    <row r="15" spans="1:16" ht="49.5" customHeight="1">
      <c r="A15" s="107" t="s">
        <v>132</v>
      </c>
      <c r="B15" s="49" t="s">
        <v>128</v>
      </c>
      <c r="C15" s="49" t="s">
        <v>1</v>
      </c>
      <c r="D15" s="49"/>
      <c r="E15" s="49" t="s">
        <v>126</v>
      </c>
      <c r="F15" s="49" t="s">
        <v>1</v>
      </c>
      <c r="G15" s="49" t="s">
        <v>2</v>
      </c>
      <c r="H15" s="49" t="s">
        <v>127</v>
      </c>
      <c r="I15" s="49" t="s">
        <v>1</v>
      </c>
      <c r="J15" s="49" t="s">
        <v>2</v>
      </c>
      <c r="K15" s="49" t="s">
        <v>129</v>
      </c>
      <c r="L15" s="49" t="s">
        <v>1</v>
      </c>
      <c r="M15" s="49" t="s">
        <v>2</v>
      </c>
      <c r="N15" s="49" t="s">
        <v>130</v>
      </c>
      <c r="O15" s="49" t="s">
        <v>1</v>
      </c>
      <c r="P15" s="49" t="s">
        <v>2</v>
      </c>
    </row>
    <row r="16" spans="2:16" ht="60.75" customHeight="1">
      <c r="B16" s="53"/>
      <c r="C16" s="53"/>
      <c r="D16" s="60"/>
      <c r="E16" s="68" t="s">
        <v>47</v>
      </c>
      <c r="F16" s="68" t="s">
        <v>108</v>
      </c>
      <c r="G16" s="60" t="s">
        <v>134</v>
      </c>
      <c r="H16" s="68" t="s">
        <v>82</v>
      </c>
      <c r="I16" s="68" t="s">
        <v>80</v>
      </c>
      <c r="J16" s="60" t="s">
        <v>137</v>
      </c>
      <c r="K16" s="53"/>
      <c r="L16" s="55"/>
      <c r="M16" s="60"/>
      <c r="N16" s="69" t="s">
        <v>48</v>
      </c>
      <c r="O16" s="69" t="s">
        <v>49</v>
      </c>
      <c r="P16" s="60" t="s">
        <v>133</v>
      </c>
    </row>
    <row r="17" spans="1:16" ht="49.5" customHeight="1">
      <c r="A17" s="58"/>
      <c r="B17" s="52"/>
      <c r="C17" s="52"/>
      <c r="D17" s="52"/>
      <c r="E17" s="52"/>
      <c r="F17" s="47"/>
      <c r="G17" s="60"/>
      <c r="H17" s="53"/>
      <c r="I17" s="53"/>
      <c r="J17" s="52"/>
      <c r="K17" s="47"/>
      <c r="L17" s="52"/>
      <c r="M17" s="52"/>
      <c r="N17" s="52"/>
      <c r="O17" s="52"/>
      <c r="P17" s="52"/>
    </row>
    <row r="18" spans="1:230" s="70" customFormat="1" ht="49.5" customHeight="1">
      <c r="A18" s="50" t="s">
        <v>0</v>
      </c>
      <c r="B18" s="49" t="s">
        <v>128</v>
      </c>
      <c r="C18" s="49" t="s">
        <v>1</v>
      </c>
      <c r="D18" s="49"/>
      <c r="E18" s="49" t="s">
        <v>126</v>
      </c>
      <c r="F18" s="49" t="s">
        <v>1</v>
      </c>
      <c r="G18" s="49" t="s">
        <v>2</v>
      </c>
      <c r="H18" s="49" t="s">
        <v>127</v>
      </c>
      <c r="I18" s="49" t="s">
        <v>1</v>
      </c>
      <c r="J18" s="49" t="s">
        <v>2</v>
      </c>
      <c r="K18" s="49" t="s">
        <v>129</v>
      </c>
      <c r="L18" s="49" t="s">
        <v>1</v>
      </c>
      <c r="M18" s="49" t="s">
        <v>2</v>
      </c>
      <c r="N18" s="49" t="s">
        <v>130</v>
      </c>
      <c r="O18" s="49" t="s">
        <v>1</v>
      </c>
      <c r="P18" s="49" t="s">
        <v>2</v>
      </c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</row>
    <row r="19" spans="1:16" ht="49.5" customHeight="1">
      <c r="A19" s="50"/>
      <c r="B19" s="47" t="s">
        <v>4</v>
      </c>
      <c r="C19" s="47" t="s">
        <v>5</v>
      </c>
      <c r="D19" s="47" t="s">
        <v>2</v>
      </c>
      <c r="E19" s="47" t="s">
        <v>4</v>
      </c>
      <c r="F19" s="47" t="s">
        <v>5</v>
      </c>
      <c r="G19" s="47" t="s">
        <v>2</v>
      </c>
      <c r="H19" s="47" t="s">
        <v>4</v>
      </c>
      <c r="I19" s="47" t="s">
        <v>5</v>
      </c>
      <c r="J19" s="47" t="s">
        <v>2</v>
      </c>
      <c r="K19" s="47" t="s">
        <v>4</v>
      </c>
      <c r="L19" s="47" t="s">
        <v>5</v>
      </c>
      <c r="M19" s="47" t="s">
        <v>2</v>
      </c>
      <c r="N19" s="47" t="s">
        <v>4</v>
      </c>
      <c r="O19" s="47" t="s">
        <v>5</v>
      </c>
      <c r="P19" s="47" t="s">
        <v>2</v>
      </c>
    </row>
    <row r="20" spans="1:16" ht="66.75" customHeight="1">
      <c r="A20" s="71" t="s">
        <v>12</v>
      </c>
      <c r="B20" s="52" t="s">
        <v>109</v>
      </c>
      <c r="C20" s="52" t="s">
        <v>24</v>
      </c>
      <c r="D20" s="54" t="s">
        <v>102</v>
      </c>
      <c r="E20" s="52" t="s">
        <v>52</v>
      </c>
      <c r="F20" s="52" t="s">
        <v>74</v>
      </c>
      <c r="G20" s="54" t="s">
        <v>102</v>
      </c>
      <c r="H20" s="52" t="s">
        <v>94</v>
      </c>
      <c r="I20" s="52" t="s">
        <v>87</v>
      </c>
      <c r="J20" s="54" t="s">
        <v>102</v>
      </c>
      <c r="K20" s="47" t="s">
        <v>53</v>
      </c>
      <c r="L20" s="47" t="s">
        <v>38</v>
      </c>
      <c r="M20" s="54" t="s">
        <v>102</v>
      </c>
      <c r="N20" s="68" t="s">
        <v>112</v>
      </c>
      <c r="O20" s="69" t="s">
        <v>68</v>
      </c>
      <c r="P20" s="54" t="s">
        <v>102</v>
      </c>
    </row>
    <row r="21" spans="1:16" ht="49.5" customHeight="1">
      <c r="A21" s="58"/>
      <c r="B21" s="72" t="s">
        <v>58</v>
      </c>
      <c r="C21" s="73" t="s">
        <v>27</v>
      </c>
      <c r="D21" s="60" t="s">
        <v>103</v>
      </c>
      <c r="E21" s="52" t="s">
        <v>55</v>
      </c>
      <c r="F21" s="52" t="s">
        <v>26</v>
      </c>
      <c r="G21" s="60" t="s">
        <v>103</v>
      </c>
      <c r="H21" s="96" t="s">
        <v>29</v>
      </c>
      <c r="I21" s="95" t="s">
        <v>73</v>
      </c>
      <c r="J21" s="60" t="s">
        <v>103</v>
      </c>
      <c r="K21" s="98" t="s">
        <v>96</v>
      </c>
      <c r="L21" s="99" t="s">
        <v>71</v>
      </c>
      <c r="M21" s="60" t="s">
        <v>103</v>
      </c>
      <c r="N21" s="75"/>
      <c r="O21" s="76"/>
      <c r="P21" s="60" t="s">
        <v>103</v>
      </c>
    </row>
    <row r="22" spans="1:16" ht="49.5" customHeight="1">
      <c r="A22" s="58"/>
      <c r="B22" s="53"/>
      <c r="C22" s="53"/>
      <c r="D22" s="54" t="s">
        <v>104</v>
      </c>
      <c r="E22" s="77" t="s">
        <v>92</v>
      </c>
      <c r="F22" s="77" t="s">
        <v>42</v>
      </c>
      <c r="G22" s="54" t="s">
        <v>104</v>
      </c>
      <c r="H22" s="96" t="s">
        <v>113</v>
      </c>
      <c r="I22" s="97" t="s">
        <v>69</v>
      </c>
      <c r="J22" s="54" t="s">
        <v>104</v>
      </c>
      <c r="K22" s="52" t="s">
        <v>76</v>
      </c>
      <c r="L22" s="52" t="s">
        <v>74</v>
      </c>
      <c r="M22" s="54" t="s">
        <v>104</v>
      </c>
      <c r="N22" s="52" t="s">
        <v>91</v>
      </c>
      <c r="O22" s="52" t="s">
        <v>42</v>
      </c>
      <c r="P22" s="54" t="s">
        <v>104</v>
      </c>
    </row>
    <row r="23" spans="1:16" ht="49.5" customHeight="1">
      <c r="A23" s="58"/>
      <c r="B23" s="52" t="s">
        <v>99</v>
      </c>
      <c r="C23" s="52" t="s">
        <v>100</v>
      </c>
      <c r="D23" s="60" t="s">
        <v>117</v>
      </c>
      <c r="E23" s="47" t="s">
        <v>95</v>
      </c>
      <c r="F23" s="78" t="s">
        <v>87</v>
      </c>
      <c r="G23" s="60" t="s">
        <v>117</v>
      </c>
      <c r="H23" s="47" t="s">
        <v>35</v>
      </c>
      <c r="I23" s="47" t="s">
        <v>24</v>
      </c>
      <c r="J23" s="60" t="s">
        <v>117</v>
      </c>
      <c r="K23" s="59" t="s">
        <v>115</v>
      </c>
      <c r="L23" s="47" t="s">
        <v>27</v>
      </c>
      <c r="M23" s="60" t="s">
        <v>117</v>
      </c>
      <c r="N23" s="59" t="s">
        <v>43</v>
      </c>
      <c r="O23" s="59" t="s">
        <v>38</v>
      </c>
      <c r="P23" s="60" t="s">
        <v>117</v>
      </c>
    </row>
    <row r="24" spans="1:16" ht="49.5" customHeight="1">
      <c r="A24" s="58"/>
      <c r="B24" s="53" t="s">
        <v>107</v>
      </c>
      <c r="C24" s="53"/>
      <c r="D24" s="60" t="s">
        <v>121</v>
      </c>
      <c r="E24" s="52" t="s">
        <v>44</v>
      </c>
      <c r="F24" s="47" t="s">
        <v>38</v>
      </c>
      <c r="G24" s="60" t="s">
        <v>119</v>
      </c>
      <c r="H24" s="94" t="s">
        <v>46</v>
      </c>
      <c r="I24" s="94" t="s">
        <v>100</v>
      </c>
      <c r="J24" s="54" t="s">
        <v>121</v>
      </c>
      <c r="K24" s="99" t="s">
        <v>72</v>
      </c>
      <c r="L24" s="98" t="s">
        <v>89</v>
      </c>
      <c r="M24" s="60" t="s">
        <v>79</v>
      </c>
      <c r="N24" s="69"/>
      <c r="O24" s="69"/>
      <c r="P24" s="60"/>
    </row>
    <row r="25" spans="1:16" ht="49.5" customHeight="1">
      <c r="A25" s="50" t="s">
        <v>135</v>
      </c>
      <c r="B25" s="49" t="s">
        <v>128</v>
      </c>
      <c r="C25" s="49" t="s">
        <v>1</v>
      </c>
      <c r="D25" s="49"/>
      <c r="E25" s="49" t="s">
        <v>126</v>
      </c>
      <c r="F25" s="49" t="s">
        <v>1</v>
      </c>
      <c r="G25" s="49" t="s">
        <v>2</v>
      </c>
      <c r="H25" s="49" t="s">
        <v>127</v>
      </c>
      <c r="I25" s="49" t="s">
        <v>1</v>
      </c>
      <c r="J25" s="49" t="s">
        <v>2</v>
      </c>
      <c r="K25" s="49" t="s">
        <v>129</v>
      </c>
      <c r="L25" s="49" t="s">
        <v>1</v>
      </c>
      <c r="M25" s="49" t="s">
        <v>2</v>
      </c>
      <c r="N25" s="49" t="s">
        <v>130</v>
      </c>
      <c r="O25" s="49" t="s">
        <v>1</v>
      </c>
      <c r="P25" s="49" t="s">
        <v>2</v>
      </c>
    </row>
    <row r="26" spans="1:16" ht="49.5" customHeight="1">
      <c r="A26" s="58"/>
      <c r="B26" s="47"/>
      <c r="C26" s="47"/>
      <c r="D26" s="60"/>
      <c r="E26" s="79" t="s">
        <v>78</v>
      </c>
      <c r="F26" s="80" t="s">
        <v>50</v>
      </c>
      <c r="G26" s="54" t="s">
        <v>136</v>
      </c>
      <c r="H26" s="53"/>
      <c r="I26" s="53"/>
      <c r="J26" s="54"/>
      <c r="K26" s="53"/>
      <c r="L26" s="53"/>
      <c r="M26" s="60"/>
      <c r="N26" s="47"/>
      <c r="O26" s="47"/>
      <c r="P26" s="52"/>
    </row>
    <row r="27" spans="1:16" ht="49.5" customHeight="1">
      <c r="A27" s="81"/>
      <c r="B27" s="77"/>
      <c r="C27" s="77"/>
      <c r="D27" s="82"/>
      <c r="F27" s="83"/>
      <c r="G27" s="84"/>
      <c r="H27" s="85"/>
      <c r="J27" s="54"/>
      <c r="K27" s="77"/>
      <c r="L27" s="77"/>
      <c r="M27" s="82"/>
      <c r="N27" s="77"/>
      <c r="O27" s="77"/>
      <c r="P27" s="82"/>
    </row>
    <row r="28" spans="1:230" s="70" customFormat="1" ht="49.5" customHeight="1">
      <c r="A28" s="88" t="s">
        <v>0</v>
      </c>
      <c r="B28" s="49" t="s">
        <v>128</v>
      </c>
      <c r="C28" s="49" t="s">
        <v>1</v>
      </c>
      <c r="D28" s="49"/>
      <c r="E28" s="49" t="s">
        <v>126</v>
      </c>
      <c r="F28" s="49" t="s">
        <v>1</v>
      </c>
      <c r="G28" s="49" t="s">
        <v>2</v>
      </c>
      <c r="H28" s="49" t="s">
        <v>127</v>
      </c>
      <c r="I28" s="49" t="s">
        <v>1</v>
      </c>
      <c r="J28" s="49" t="s">
        <v>2</v>
      </c>
      <c r="K28" s="49" t="s">
        <v>129</v>
      </c>
      <c r="L28" s="49" t="s">
        <v>1</v>
      </c>
      <c r="M28" s="49" t="s">
        <v>2</v>
      </c>
      <c r="N28" s="49" t="s">
        <v>130</v>
      </c>
      <c r="O28" s="49" t="s">
        <v>1</v>
      </c>
      <c r="P28" s="49" t="s">
        <v>2</v>
      </c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</row>
    <row r="29" spans="1:230" s="70" customFormat="1" ht="49.5" customHeight="1">
      <c r="A29" s="89"/>
      <c r="B29" s="77" t="s">
        <v>4</v>
      </c>
      <c r="C29" s="77" t="s">
        <v>5</v>
      </c>
      <c r="D29" s="77" t="s">
        <v>2</v>
      </c>
      <c r="E29" s="77" t="s">
        <v>4</v>
      </c>
      <c r="F29" s="77" t="s">
        <v>5</v>
      </c>
      <c r="G29" s="77" t="s">
        <v>2</v>
      </c>
      <c r="H29" s="77" t="s">
        <v>4</v>
      </c>
      <c r="I29" s="77" t="s">
        <v>5</v>
      </c>
      <c r="J29" s="54"/>
      <c r="K29" s="77" t="s">
        <v>4</v>
      </c>
      <c r="L29" s="77" t="s">
        <v>5</v>
      </c>
      <c r="M29" s="77" t="s">
        <v>2</v>
      </c>
      <c r="N29" s="77" t="s">
        <v>4</v>
      </c>
      <c r="O29" s="77" t="s">
        <v>5</v>
      </c>
      <c r="P29" s="77" t="s">
        <v>2</v>
      </c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</row>
    <row r="30" spans="1:16" ht="49.5" customHeight="1">
      <c r="A30" s="89" t="s">
        <v>18</v>
      </c>
      <c r="B30" s="82" t="s">
        <v>93</v>
      </c>
      <c r="C30" s="82" t="s">
        <v>88</v>
      </c>
      <c r="D30" s="54" t="s">
        <v>102</v>
      </c>
      <c r="E30" s="82" t="s">
        <v>85</v>
      </c>
      <c r="F30" s="82" t="s">
        <v>74</v>
      </c>
      <c r="G30" s="54" t="s">
        <v>102</v>
      </c>
      <c r="H30" s="94" t="s">
        <v>70</v>
      </c>
      <c r="I30" s="94" t="s">
        <v>69</v>
      </c>
      <c r="J30" s="54" t="s">
        <v>102</v>
      </c>
      <c r="K30" s="53"/>
      <c r="L30" s="55"/>
      <c r="M30" s="54" t="s">
        <v>102</v>
      </c>
      <c r="N30" s="63"/>
      <c r="O30" s="63"/>
      <c r="P30" s="54" t="s">
        <v>102</v>
      </c>
    </row>
    <row r="31" spans="1:16" ht="49.5" customHeight="1">
      <c r="A31" s="81"/>
      <c r="B31" s="82" t="s">
        <v>86</v>
      </c>
      <c r="C31" s="82" t="s">
        <v>26</v>
      </c>
      <c r="D31" s="60" t="s">
        <v>103</v>
      </c>
      <c r="E31" s="82" t="s">
        <v>77</v>
      </c>
      <c r="F31" s="82" t="s">
        <v>26</v>
      </c>
      <c r="G31" s="60" t="s">
        <v>103</v>
      </c>
      <c r="H31" s="95" t="s">
        <v>62</v>
      </c>
      <c r="I31" s="96" t="s">
        <v>73</v>
      </c>
      <c r="J31" s="60" t="s">
        <v>103</v>
      </c>
      <c r="K31" s="98" t="s">
        <v>39</v>
      </c>
      <c r="L31" s="69" t="s">
        <v>68</v>
      </c>
      <c r="M31" s="60" t="s">
        <v>103</v>
      </c>
      <c r="N31" s="53"/>
      <c r="O31" s="55"/>
      <c r="P31" s="60" t="s">
        <v>103</v>
      </c>
    </row>
    <row r="32" spans="1:16" ht="49.5" customHeight="1">
      <c r="A32" s="81"/>
      <c r="B32" s="77" t="s">
        <v>28</v>
      </c>
      <c r="C32" s="77" t="s">
        <v>27</v>
      </c>
      <c r="D32" s="54" t="s">
        <v>104</v>
      </c>
      <c r="E32" s="82" t="s">
        <v>106</v>
      </c>
      <c r="F32" s="53" t="s">
        <v>67</v>
      </c>
      <c r="G32" s="54" t="s">
        <v>104</v>
      </c>
      <c r="H32" s="47" t="s">
        <v>34</v>
      </c>
      <c r="I32" s="47" t="s">
        <v>38</v>
      </c>
      <c r="J32" s="54" t="s">
        <v>104</v>
      </c>
      <c r="K32" s="53" t="s">
        <v>60</v>
      </c>
      <c r="L32" s="82" t="s">
        <v>27</v>
      </c>
      <c r="M32" s="54" t="s">
        <v>104</v>
      </c>
      <c r="N32" s="93" t="s">
        <v>56</v>
      </c>
      <c r="O32" s="93" t="s">
        <v>123</v>
      </c>
      <c r="P32" s="54" t="s">
        <v>104</v>
      </c>
    </row>
    <row r="33" spans="1:16" ht="49.5" customHeight="1">
      <c r="A33" s="81"/>
      <c r="B33" s="82" t="s">
        <v>120</v>
      </c>
      <c r="C33" s="82" t="s">
        <v>24</v>
      </c>
      <c r="D33" s="60" t="s">
        <v>117</v>
      </c>
      <c r="F33" s="87"/>
      <c r="G33" s="60" t="s">
        <v>117</v>
      </c>
      <c r="H33" s="53" t="s">
        <v>32</v>
      </c>
      <c r="I33" s="55" t="s">
        <v>88</v>
      </c>
      <c r="J33" s="60" t="s">
        <v>117</v>
      </c>
      <c r="K33" s="53" t="s">
        <v>45</v>
      </c>
      <c r="L33" s="55" t="s">
        <v>87</v>
      </c>
      <c r="M33" s="60" t="s">
        <v>117</v>
      </c>
      <c r="N33" s="55"/>
      <c r="O33" s="53"/>
      <c r="P33" s="60" t="s">
        <v>117</v>
      </c>
    </row>
    <row r="34" spans="1:16" ht="49.5" customHeight="1">
      <c r="A34" s="81"/>
      <c r="B34" s="77"/>
      <c r="C34" s="77"/>
      <c r="D34" s="54"/>
      <c r="E34" s="53" t="s">
        <v>61</v>
      </c>
      <c r="F34" s="55" t="s">
        <v>27</v>
      </c>
      <c r="G34" s="54" t="s">
        <v>121</v>
      </c>
      <c r="H34" s="74"/>
      <c r="I34" s="53"/>
      <c r="J34" s="54"/>
      <c r="K34" s="53" t="s">
        <v>114</v>
      </c>
      <c r="L34" s="82" t="s">
        <v>26</v>
      </c>
      <c r="M34" s="90" t="s">
        <v>121</v>
      </c>
      <c r="N34" s="77"/>
      <c r="O34" s="77"/>
      <c r="P34" s="90"/>
    </row>
    <row r="35" spans="1:16" ht="49.5" customHeight="1">
      <c r="A35" s="108" t="s">
        <v>138</v>
      </c>
      <c r="B35" s="49" t="s">
        <v>128</v>
      </c>
      <c r="C35" s="49" t="s">
        <v>1</v>
      </c>
      <c r="D35" s="49"/>
      <c r="E35" s="49" t="s">
        <v>126</v>
      </c>
      <c r="F35" s="50" t="s">
        <v>1</v>
      </c>
      <c r="G35" s="49" t="s">
        <v>2</v>
      </c>
      <c r="H35" s="49" t="s">
        <v>127</v>
      </c>
      <c r="I35" s="49" t="s">
        <v>1</v>
      </c>
      <c r="J35" s="49" t="s">
        <v>2</v>
      </c>
      <c r="K35" s="49" t="s">
        <v>129</v>
      </c>
      <c r="L35" s="49" t="s">
        <v>1</v>
      </c>
      <c r="M35" s="49" t="s">
        <v>2</v>
      </c>
      <c r="N35" s="49" t="s">
        <v>130</v>
      </c>
      <c r="O35" s="49" t="s">
        <v>1</v>
      </c>
      <c r="P35" s="49" t="s">
        <v>2</v>
      </c>
    </row>
    <row r="36" spans="2:16" ht="49.5" customHeight="1">
      <c r="B36" s="68" t="s">
        <v>51</v>
      </c>
      <c r="C36" s="69" t="s">
        <v>49</v>
      </c>
      <c r="D36" s="54" t="s">
        <v>140</v>
      </c>
      <c r="E36" s="53"/>
      <c r="F36" s="53"/>
      <c r="G36" s="90"/>
      <c r="H36" s="69" t="s">
        <v>122</v>
      </c>
      <c r="I36" s="69" t="s">
        <v>81</v>
      </c>
      <c r="J36" s="60" t="s">
        <v>139</v>
      </c>
      <c r="K36" s="100" t="s">
        <v>118</v>
      </c>
      <c r="L36" s="100" t="s">
        <v>84</v>
      </c>
      <c r="M36" s="90" t="s">
        <v>119</v>
      </c>
      <c r="N36" s="77"/>
      <c r="O36" s="77"/>
      <c r="P36" s="90"/>
    </row>
    <row r="37" spans="1:16" ht="49.5" customHeight="1">
      <c r="A37" s="81"/>
      <c r="B37" s="87"/>
      <c r="D37" s="54"/>
      <c r="E37" s="87"/>
      <c r="G37" s="82"/>
      <c r="H37" s="87"/>
      <c r="J37" s="90"/>
      <c r="K37" s="87"/>
      <c r="L37" s="87"/>
      <c r="M37" s="90"/>
      <c r="N37" s="77"/>
      <c r="O37" s="77"/>
      <c r="P37" s="82"/>
    </row>
    <row r="38" spans="1:16" ht="49.5" customHeight="1">
      <c r="A38" s="81"/>
      <c r="B38" s="77"/>
      <c r="C38" s="77"/>
      <c r="D38" s="82"/>
      <c r="E38" s="77"/>
      <c r="F38" s="77"/>
      <c r="G38" s="82"/>
      <c r="H38" s="82"/>
      <c r="I38" s="82"/>
      <c r="J38" s="82"/>
      <c r="K38" s="77"/>
      <c r="L38" s="77"/>
      <c r="M38" s="82"/>
      <c r="N38" s="80"/>
      <c r="O38" s="80"/>
      <c r="P38" s="90"/>
    </row>
    <row r="39" spans="1:16" ht="39.75" customHeight="1">
      <c r="A39" s="103"/>
      <c r="B39" s="68"/>
      <c r="C39" s="101"/>
      <c r="D39" s="54"/>
      <c r="E39" s="92"/>
      <c r="F39" s="92"/>
      <c r="G39" s="82"/>
      <c r="H39" s="92"/>
      <c r="I39" s="92"/>
      <c r="J39" s="82"/>
      <c r="K39" s="92"/>
      <c r="L39" s="92"/>
      <c r="M39" s="82"/>
      <c r="N39" s="92"/>
      <c r="O39" s="92"/>
      <c r="P39" s="82"/>
    </row>
    <row r="40" spans="1:16" ht="102" customHeight="1">
      <c r="A40" s="103"/>
      <c r="B40" s="102"/>
      <c r="C40" s="101"/>
      <c r="D40" s="60"/>
      <c r="E40" s="92"/>
      <c r="F40" s="92"/>
      <c r="G40" s="82"/>
      <c r="H40" s="92"/>
      <c r="I40" s="92"/>
      <c r="J40" s="82"/>
      <c r="K40" s="92"/>
      <c r="L40" s="92"/>
      <c r="M40" s="82"/>
      <c r="N40" s="92"/>
      <c r="O40" s="92"/>
      <c r="P40" s="82"/>
    </row>
    <row r="41" spans="1:16" ht="39.75" customHeight="1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1:16" ht="39.7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1:16" ht="39.75" customHeight="1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1:16" ht="39.7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1:16" ht="39.75" customHeight="1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1:16" ht="39.7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1:16" ht="39.75" customHeight="1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1:16" ht="39.75" customHeight="1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1:16" ht="39.75" customHeight="1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1:16" ht="39.75" customHeight="1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1:16" ht="39.75" customHeight="1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1:16" ht="39.75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1:16" ht="39.75" customHeight="1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1:16" ht="39.75" customHeigh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1:16" ht="39.75" customHeight="1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1:16" ht="39.75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1:16" ht="39.75" customHeight="1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1:16" ht="39.7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1:16" ht="39.75" customHeight="1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1:16" ht="39.75" customHeight="1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1:16" ht="39.75" customHeight="1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1:16" ht="39.75" customHeight="1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1:16" ht="39.75" customHeight="1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1:16" ht="39.75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1:16" ht="39.75" customHeight="1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1:16" ht="39.75" customHeight="1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1:16" ht="39.75" customHeight="1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1:16" ht="39.75" customHeight="1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1:16" ht="39.75" customHeight="1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1:16" ht="39.75" customHeight="1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1:16" ht="39.75" customHeight="1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1:16" ht="39.75" customHeight="1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1:16" ht="39.75" customHeight="1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1:16" ht="39.75" customHeight="1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1:16" ht="39.75" customHeight="1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</sheetData>
  <sheetProtection formatCells="0" formatColumns="0" formatRows="0" insertColumns="0" insertRows="0" insertHyperlinks="0" deleteColumns="0" deleteRows="0" sort="0" autoFilter="0" pivotTables="0"/>
  <mergeCells count="2">
    <mergeCell ref="A1:P2"/>
    <mergeCell ref="N3:O3"/>
  </mergeCells>
  <printOptions gridLines="1" horizontalCentered="1" verticalCentered="1"/>
  <pageMargins left="0.2362204724409449" right="0.2362204724409449" top="0.7480314960629921" bottom="0.7480314960629921" header="0.31496062992125984" footer="0.31496062992125984"/>
  <pageSetup fitToHeight="4" fitToWidth="2" horizontalDpi="600" verticalDpi="600" orientation="landscape" paperSize="9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421875" style="0" customWidth="1"/>
    <col min="2" max="2" width="3.28125" style="0" customWidth="1"/>
    <col min="3" max="8" width="19.7109375" style="0" customWidth="1"/>
  </cols>
  <sheetData>
    <row r="1" spans="1:8" ht="13.5" thickBot="1">
      <c r="A1" s="28" t="s">
        <v>11</v>
      </c>
      <c r="C1" s="131"/>
      <c r="D1" s="131"/>
      <c r="E1" s="131"/>
      <c r="F1" s="131"/>
      <c r="G1" s="131"/>
      <c r="H1" s="131"/>
    </row>
    <row r="2" spans="1:8" ht="18" customHeight="1" thickTop="1">
      <c r="A2" s="1" t="s">
        <v>124</v>
      </c>
      <c r="B2" s="1"/>
      <c r="C2" s="132" t="s">
        <v>124</v>
      </c>
      <c r="D2" s="133"/>
      <c r="E2" s="133"/>
      <c r="F2" s="133"/>
      <c r="G2" s="133"/>
      <c r="H2" s="134"/>
    </row>
    <row r="3" spans="3:8" ht="45" customHeight="1" thickBot="1">
      <c r="C3" s="135"/>
      <c r="D3" s="136"/>
      <c r="E3" s="136"/>
      <c r="F3" s="136"/>
      <c r="G3" s="136"/>
      <c r="H3" s="137"/>
    </row>
    <row r="4" spans="3:8" ht="32.25" customHeight="1" thickBot="1" thickTop="1">
      <c r="C4" s="22"/>
      <c r="D4" s="23" t="s">
        <v>6</v>
      </c>
      <c r="E4" s="24" t="s">
        <v>7</v>
      </c>
      <c r="F4" s="23" t="s">
        <v>8</v>
      </c>
      <c r="G4" s="23" t="s">
        <v>9</v>
      </c>
      <c r="H4" s="25" t="s">
        <v>10</v>
      </c>
    </row>
    <row r="5" spans="3:30" ht="18.75" thickTop="1">
      <c r="C5" s="138" t="s">
        <v>14</v>
      </c>
      <c r="D5" s="15">
        <f>IF(ISERROR(Z5),"",Z5)</f>
      </c>
      <c r="E5" s="26">
        <f aca="true" t="shared" si="0" ref="E5:H20">IF(ISERROR(AA5),"",AA5)</f>
      </c>
      <c r="F5" s="15">
        <f t="shared" si="0"/>
      </c>
      <c r="G5" s="15">
        <f t="shared" si="0"/>
      </c>
      <c r="H5" s="27">
        <f t="shared" si="0"/>
      </c>
      <c r="I5" s="26"/>
      <c r="Z5" t="e">
        <f>DGET(_mon1,"code",criteria2)</f>
        <v>#VALUE!</v>
      </c>
      <c r="AA5" t="e">
        <f>DGET(_tue1,"code",criteria2)</f>
        <v>#VALUE!</v>
      </c>
      <c r="AB5" t="e">
        <f>DGET(_wed1,"code",criteria2)</f>
        <v>#VALUE!</v>
      </c>
      <c r="AC5" t="e">
        <f>DGET(_thu1,"code",criteria2)</f>
        <v>#VALUE!</v>
      </c>
      <c r="AD5" t="e">
        <f>DGET(_fri1,"code",criteria2)</f>
        <v>#VALUE!</v>
      </c>
    </row>
    <row r="6" spans="3:30" ht="18">
      <c r="C6" s="129"/>
      <c r="D6" s="12">
        <f aca="true" t="shared" si="1" ref="D6:D21">IF(ISERROR(Z6),"",Z6)</f>
      </c>
      <c r="E6" s="7">
        <f t="shared" si="0"/>
      </c>
      <c r="F6" s="12">
        <f t="shared" si="0"/>
      </c>
      <c r="G6" s="12">
        <f t="shared" si="0"/>
      </c>
      <c r="H6" s="9">
        <f t="shared" si="0"/>
      </c>
      <c r="Z6" t="e">
        <f>DGET(_mon1,"ins",criteria2)</f>
        <v>#VALUE!</v>
      </c>
      <c r="AA6" t="e">
        <f>DGET(_tue1,"ins",criteria2)</f>
        <v>#VALUE!</v>
      </c>
      <c r="AB6" t="e">
        <f>DGET(_wed1,"ins",criteria2)</f>
        <v>#VALUE!</v>
      </c>
      <c r="AC6" t="e">
        <f>DGET(_thu1,"ins",criteria2)</f>
        <v>#VALUE!</v>
      </c>
      <c r="AD6" t="e">
        <f>DGET(_fri1,"ins",criteria2)</f>
        <v>#VALUE!</v>
      </c>
    </row>
    <row r="7" spans="3:30" ht="18">
      <c r="C7" s="127" t="s">
        <v>15</v>
      </c>
      <c r="D7" s="5">
        <f t="shared" si="1"/>
      </c>
      <c r="E7" s="6">
        <f t="shared" si="0"/>
      </c>
      <c r="F7" s="5">
        <f t="shared" si="0"/>
      </c>
      <c r="G7" s="5">
        <f t="shared" si="0"/>
      </c>
      <c r="H7" s="8">
        <f t="shared" si="0"/>
      </c>
      <c r="Z7" t="e">
        <f>DGET(_mon2,"code",criteria2)</f>
        <v>#REF!</v>
      </c>
      <c r="AA7" t="e">
        <f>DGET(_tue2,"code",criteria2)</f>
        <v>#REF!</v>
      </c>
      <c r="AB7" t="e">
        <f>DGET(_wed2,"code",criteria2)</f>
        <v>#REF!</v>
      </c>
      <c r="AC7" t="e">
        <f>DGET(_thu2,"code",criteria2)</f>
        <v>#REF!</v>
      </c>
      <c r="AD7" t="e">
        <f>DGET(_fri2,"code",criteria2)</f>
        <v>#REF!</v>
      </c>
    </row>
    <row r="8" spans="3:30" ht="18">
      <c r="C8" s="129"/>
      <c r="D8" s="12">
        <f t="shared" si="1"/>
      </c>
      <c r="E8" s="7">
        <f t="shared" si="0"/>
      </c>
      <c r="F8" s="12">
        <f t="shared" si="0"/>
      </c>
      <c r="G8" s="12">
        <f t="shared" si="0"/>
      </c>
      <c r="H8" s="9">
        <f t="shared" si="0"/>
      </c>
      <c r="Z8" t="e">
        <f>DGET(_mon2,"ins",criteria2)</f>
        <v>#REF!</v>
      </c>
      <c r="AA8" t="e">
        <f>DGET(_tue2,"ins",criteria2)</f>
        <v>#REF!</v>
      </c>
      <c r="AB8" t="e">
        <f>DGET(_wed2,"ins",criteria2)</f>
        <v>#REF!</v>
      </c>
      <c r="AC8" t="e">
        <f>DGET(_thu2,"ins",criteria2)</f>
        <v>#REF!</v>
      </c>
      <c r="AD8" t="e">
        <f>DGET(_fri2,"ins",criteria2)</f>
        <v>#REF!</v>
      </c>
    </row>
    <row r="9" spans="3:30" ht="18">
      <c r="C9" s="127" t="s">
        <v>16</v>
      </c>
      <c r="D9" s="5">
        <f t="shared" si="1"/>
      </c>
      <c r="E9" s="6">
        <f t="shared" si="0"/>
      </c>
      <c r="F9" s="5">
        <f t="shared" si="0"/>
      </c>
      <c r="G9" s="5">
        <f t="shared" si="0"/>
      </c>
      <c r="H9" s="8">
        <f t="shared" si="0"/>
      </c>
      <c r="Z9" t="e">
        <f>DGET(_mon3,"code",criteria2)</f>
        <v>#VALUE!</v>
      </c>
      <c r="AA9" t="e">
        <f>DGET(_tue3,"code",criteria2)</f>
        <v>#VALUE!</v>
      </c>
      <c r="AB9" t="e">
        <f>DGET(_wed3,"code",criteria2)</f>
        <v>#VALUE!</v>
      </c>
      <c r="AC9" t="e">
        <f>DGET(_thu3,"code",criteria2)</f>
        <v>#VALUE!</v>
      </c>
      <c r="AD9" t="e">
        <f>DGET(_fri3,"code",criteria2)</f>
        <v>#VALUE!</v>
      </c>
    </row>
    <row r="10" spans="3:30" ht="18">
      <c r="C10" s="129"/>
      <c r="D10" s="12">
        <f t="shared" si="1"/>
      </c>
      <c r="E10" s="7">
        <f t="shared" si="0"/>
      </c>
      <c r="F10" s="12">
        <f t="shared" si="0"/>
      </c>
      <c r="G10" s="12">
        <f t="shared" si="0"/>
      </c>
      <c r="H10" s="9">
        <f t="shared" si="0"/>
      </c>
      <c r="Z10" t="e">
        <f>DGET(_mon3,"ins",criteria2)</f>
        <v>#VALUE!</v>
      </c>
      <c r="AA10" t="e">
        <f>DGET(_tue3,"ins",criteria2)</f>
        <v>#VALUE!</v>
      </c>
      <c r="AB10" t="e">
        <f>DGET(_wed3,"ins",criteria2)</f>
        <v>#VALUE!</v>
      </c>
      <c r="AC10" t="e">
        <f>DGET(_thu3,"ins",criteria2)</f>
        <v>#VALUE!</v>
      </c>
      <c r="AD10" t="e">
        <f>DGET(_fri3,"ins",criteria2)</f>
        <v>#VALUE!</v>
      </c>
    </row>
    <row r="11" spans="3:30" ht="18">
      <c r="C11" s="127" t="s">
        <v>12</v>
      </c>
      <c r="D11" s="5">
        <f t="shared" si="1"/>
      </c>
      <c r="E11" s="6">
        <f t="shared" si="0"/>
      </c>
      <c r="F11" s="5">
        <f t="shared" si="0"/>
      </c>
      <c r="G11" s="5">
        <f t="shared" si="0"/>
      </c>
      <c r="H11" s="8">
        <f t="shared" si="0"/>
      </c>
      <c r="Z11" t="e">
        <f>DGET(_mon4,"code",criteria2)</f>
        <v>#VALUE!</v>
      </c>
      <c r="AA11" t="e">
        <f>DGET(_tue4,"code",criteria2)</f>
        <v>#VALUE!</v>
      </c>
      <c r="AB11" t="e">
        <f>DGET(_wed4,"code",criteria2)</f>
        <v>#VALUE!</v>
      </c>
      <c r="AC11" t="e">
        <f>DGET(_thu4,"code",criteria2)</f>
        <v>#VALUE!</v>
      </c>
      <c r="AD11" t="e">
        <f>DGET(_fri4,"code",criteria2)</f>
        <v>#VALUE!</v>
      </c>
    </row>
    <row r="12" spans="3:30" ht="18">
      <c r="C12" s="129"/>
      <c r="D12" s="12">
        <f t="shared" si="1"/>
      </c>
      <c r="E12" s="7">
        <f t="shared" si="0"/>
      </c>
      <c r="F12" s="12">
        <f t="shared" si="0"/>
      </c>
      <c r="G12" s="12">
        <f t="shared" si="0"/>
      </c>
      <c r="H12" s="9">
        <f t="shared" si="0"/>
      </c>
      <c r="Z12" t="e">
        <f>DGET(_mon4,"ins",criteria2)</f>
        <v>#VALUE!</v>
      </c>
      <c r="AA12" t="e">
        <f>DGET(_tue4,"ins",criteria2)</f>
        <v>#VALUE!</v>
      </c>
      <c r="AB12" t="e">
        <f>DGET(_wed4,"ins",criteria2)</f>
        <v>#VALUE!</v>
      </c>
      <c r="AC12" t="e">
        <f>DGET(_thu4,"ins",criteria2)</f>
        <v>#VALUE!</v>
      </c>
      <c r="AD12" t="e">
        <f>DGET(_fri4,"ins",criteria2)</f>
        <v>#VALUE!</v>
      </c>
    </row>
    <row r="13" spans="3:30" ht="18">
      <c r="C13" s="127" t="s">
        <v>13</v>
      </c>
      <c r="D13" s="5">
        <f t="shared" si="1"/>
      </c>
      <c r="E13" s="6">
        <f t="shared" si="0"/>
      </c>
      <c r="F13" s="5">
        <f t="shared" si="0"/>
      </c>
      <c r="G13" s="5">
        <f t="shared" si="0"/>
      </c>
      <c r="H13" s="8">
        <f t="shared" si="0"/>
      </c>
      <c r="Z13" t="e">
        <f>DGET(_mon5,"code",criteria2)</f>
        <v>#REF!</v>
      </c>
      <c r="AA13" t="e">
        <f>DGET(_tue5,"code",criteria2)</f>
        <v>#REF!</v>
      </c>
      <c r="AB13" t="e">
        <f>DGET(_wed5,"code",criteria2)</f>
        <v>#REF!</v>
      </c>
      <c r="AC13" t="e">
        <f>DGET(_thu5,"code",criteria2)</f>
        <v>#REF!</v>
      </c>
      <c r="AD13" t="e">
        <f>DGET(_fri5,"code",criteria2)</f>
        <v>#REF!</v>
      </c>
    </row>
    <row r="14" spans="3:30" ht="18">
      <c r="C14" s="127"/>
      <c r="D14" s="12">
        <f t="shared" si="1"/>
      </c>
      <c r="E14" s="7">
        <f t="shared" si="0"/>
      </c>
      <c r="F14" s="12">
        <f t="shared" si="0"/>
      </c>
      <c r="G14" s="12">
        <f t="shared" si="0"/>
      </c>
      <c r="H14" s="9">
        <f t="shared" si="0"/>
      </c>
      <c r="Z14" t="e">
        <f>DGET(_mon5,"ins",criteria2)</f>
        <v>#REF!</v>
      </c>
      <c r="AA14" t="e">
        <f>DGET(_tue5,"ins",criteria2)</f>
        <v>#REF!</v>
      </c>
      <c r="AB14" t="e">
        <f>DGET(_wed5,"ins",criteria2)</f>
        <v>#REF!</v>
      </c>
      <c r="AC14" t="e">
        <f>DGET(_thu5,"ins",criteria2)</f>
        <v>#REF!</v>
      </c>
      <c r="AD14" t="e">
        <f>DGET(_fri5,"ins",criteria2)</f>
        <v>#REF!</v>
      </c>
    </row>
    <row r="15" spans="3:30" ht="18">
      <c r="C15" s="127" t="s">
        <v>17</v>
      </c>
      <c r="D15" s="5">
        <f t="shared" si="1"/>
      </c>
      <c r="E15" s="6">
        <f t="shared" si="0"/>
      </c>
      <c r="F15" s="5">
        <f t="shared" si="0"/>
      </c>
      <c r="G15" s="5">
        <f t="shared" si="0"/>
      </c>
      <c r="H15" s="8">
        <f t="shared" si="0"/>
      </c>
      <c r="Z15" t="e">
        <f>DGET(_mon6,"code",criteria2)</f>
        <v>#REF!</v>
      </c>
      <c r="AA15" t="e">
        <f>DGET(_tue6,"code",criteria2)</f>
        <v>#REF!</v>
      </c>
      <c r="AB15" t="e">
        <f>DGET(_wed6,"code",criteria2)</f>
        <v>#REF!</v>
      </c>
      <c r="AC15" t="e">
        <f>DGET(_thu6,"code",criteria2)</f>
        <v>#REF!</v>
      </c>
      <c r="AD15" t="e">
        <f>DGET(_fri6,"code",criteria2)</f>
        <v>#REF!</v>
      </c>
    </row>
    <row r="16" spans="3:30" ht="18">
      <c r="C16" s="129"/>
      <c r="D16" s="12">
        <f t="shared" si="1"/>
      </c>
      <c r="E16" s="7">
        <f t="shared" si="0"/>
      </c>
      <c r="F16" s="12">
        <f t="shared" si="0"/>
      </c>
      <c r="G16" s="12">
        <f t="shared" si="0"/>
      </c>
      <c r="H16" s="9">
        <f t="shared" si="0"/>
      </c>
      <c r="Z16" t="e">
        <f>DGET(_mon6,"ins",criteria2)</f>
        <v>#REF!</v>
      </c>
      <c r="AA16" t="e">
        <f>DGET(_tue6,"ins",criteria2)</f>
        <v>#REF!</v>
      </c>
      <c r="AB16" t="e">
        <f>DGET(_wed6,"ins",criteria2)</f>
        <v>#REF!</v>
      </c>
      <c r="AC16" t="e">
        <f>DGET(_thu6,"ins",criteria2)</f>
        <v>#REF!</v>
      </c>
      <c r="AD16" t="e">
        <f>DGET(_fri6,"ins",criteria2)</f>
        <v>#REF!</v>
      </c>
    </row>
    <row r="17" spans="3:30" ht="18">
      <c r="C17" s="127" t="s">
        <v>18</v>
      </c>
      <c r="D17" s="5">
        <f t="shared" si="1"/>
      </c>
      <c r="E17" s="6">
        <f t="shared" si="0"/>
      </c>
      <c r="F17" s="5">
        <f t="shared" si="0"/>
      </c>
      <c r="G17" s="5">
        <f t="shared" si="0"/>
      </c>
      <c r="H17" s="8">
        <f t="shared" si="0"/>
      </c>
      <c r="Z17" t="e">
        <f>DGET(_mon7,"code",criteria2)</f>
        <v>#VALUE!</v>
      </c>
      <c r="AA17" t="e">
        <f>DGET(_tue7,"code",criteria2)</f>
        <v>#VALUE!</v>
      </c>
      <c r="AB17" t="e">
        <f>DGET(_wed7,"code",criteria2)</f>
        <v>#VALUE!</v>
      </c>
      <c r="AC17" t="e">
        <f>DGET(_thu7,"code",criteria2)</f>
        <v>#VALUE!</v>
      </c>
      <c r="AD17" t="e">
        <f>DGET(_fri7,"code",criteria2)</f>
        <v>#VALUE!</v>
      </c>
    </row>
    <row r="18" spans="3:30" ht="18">
      <c r="C18" s="129"/>
      <c r="D18" s="12">
        <f t="shared" si="1"/>
      </c>
      <c r="E18" s="7">
        <f t="shared" si="0"/>
      </c>
      <c r="F18" s="12">
        <f t="shared" si="0"/>
      </c>
      <c r="G18" s="12">
        <f t="shared" si="0"/>
      </c>
      <c r="H18" s="9">
        <f t="shared" si="0"/>
      </c>
      <c r="Z18" t="e">
        <f>DGET(_mon7,"ins",criteria2)</f>
        <v>#VALUE!</v>
      </c>
      <c r="AA18" t="e">
        <f>DGET(_tue7,"ins",criteria2)</f>
        <v>#VALUE!</v>
      </c>
      <c r="AB18" t="e">
        <f>DGET(_wed7,"ins",criteria2)</f>
        <v>#VALUE!</v>
      </c>
      <c r="AC18" t="e">
        <f>DGET(_thu7,"ins",criteria2)</f>
        <v>#VALUE!</v>
      </c>
      <c r="AD18" t="e">
        <f>DGET(_fri7,"ins",criteria2)</f>
        <v>#VALUE!</v>
      </c>
    </row>
    <row r="19" spans="3:30" ht="18">
      <c r="C19" s="127" t="s">
        <v>19</v>
      </c>
      <c r="D19" s="5">
        <f t="shared" si="1"/>
      </c>
      <c r="E19" s="6">
        <f t="shared" si="0"/>
      </c>
      <c r="F19" s="5">
        <f t="shared" si="0"/>
      </c>
      <c r="G19" s="5">
        <f t="shared" si="0"/>
      </c>
      <c r="H19" s="8">
        <f t="shared" si="0"/>
      </c>
      <c r="Z19" t="e">
        <f>DGET(_mon8,"code",criteria2)</f>
        <v>#REF!</v>
      </c>
      <c r="AA19" t="e">
        <f>DGET(_tue8,"code",criteria2)</f>
        <v>#REF!</v>
      </c>
      <c r="AB19" t="e">
        <f>DGET(_wed8,"code",criteria2)</f>
        <v>#REF!</v>
      </c>
      <c r="AC19" t="e">
        <f>DGET(_thu8,"code",criteria2)</f>
        <v>#REF!</v>
      </c>
      <c r="AD19" t="e">
        <f>DGET(_fri8,"code",criteria2)</f>
        <v>#REF!</v>
      </c>
    </row>
    <row r="20" spans="3:30" ht="18">
      <c r="C20" s="129"/>
      <c r="D20" s="12">
        <f t="shared" si="1"/>
      </c>
      <c r="E20" s="7">
        <f t="shared" si="0"/>
      </c>
      <c r="F20" s="12">
        <f t="shared" si="0"/>
      </c>
      <c r="G20" s="12">
        <f t="shared" si="0"/>
      </c>
      <c r="H20" s="9">
        <f t="shared" si="0"/>
      </c>
      <c r="Z20" t="e">
        <f>DGET(_mon8,"ins",criteria2)</f>
        <v>#REF!</v>
      </c>
      <c r="AA20" t="e">
        <f>DGET(_tue8,"ins",criteria2)</f>
        <v>#REF!</v>
      </c>
      <c r="AB20" t="e">
        <f>DGET(_wed8,"ins",criteria2)</f>
        <v>#REF!</v>
      </c>
      <c r="AC20" t="e">
        <f>DGET(_thu8,"ins",criteria2)</f>
        <v>#REF!</v>
      </c>
      <c r="AD20" t="e">
        <f>DGET(_fri8,"ins",criteria2)</f>
        <v>#REF!</v>
      </c>
    </row>
    <row r="21" spans="3:30" ht="18">
      <c r="C21" s="127" t="s">
        <v>20</v>
      </c>
      <c r="D21" s="5">
        <f t="shared" si="1"/>
      </c>
      <c r="E21" s="6">
        <f aca="true" t="shared" si="2" ref="E21:H26">IF(ISERROR(AA21),"",AA21)</f>
      </c>
      <c r="F21" s="5">
        <f t="shared" si="2"/>
      </c>
      <c r="G21" s="5">
        <f t="shared" si="2"/>
      </c>
      <c r="H21" s="8">
        <f t="shared" si="2"/>
      </c>
      <c r="Z21" t="e">
        <f>DGET(_mon9,"code",criteria2)</f>
        <v>#REF!</v>
      </c>
      <c r="AA21" t="e">
        <f>DGET(_tue9,"code",criteria2)</f>
        <v>#REF!</v>
      </c>
      <c r="AB21" t="e">
        <f>DGET(_wed9,"code",criteria2)</f>
        <v>#REF!</v>
      </c>
      <c r="AC21" t="e">
        <f>DGET(_thu9,"code",criteria2)</f>
        <v>#REF!</v>
      </c>
      <c r="AD21" t="e">
        <f>DGET(_fri9,"code",criteria2)</f>
        <v>#REF!</v>
      </c>
    </row>
    <row r="22" spans="3:30" ht="18">
      <c r="C22" s="130"/>
      <c r="D22" s="15">
        <f aca="true" t="shared" si="3" ref="D22:D28">IF(ISERROR(Z22),"",Z22)</f>
      </c>
      <c r="E22" s="26">
        <f t="shared" si="2"/>
      </c>
      <c r="F22" s="15">
        <f t="shared" si="2"/>
      </c>
      <c r="G22" s="15">
        <f t="shared" si="2"/>
      </c>
      <c r="H22" s="27">
        <f t="shared" si="2"/>
      </c>
      <c r="Z22" t="e">
        <f>DGET(_mon9,"ins",criteria2)</f>
        <v>#REF!</v>
      </c>
      <c r="AA22" t="e">
        <f>DGET(_tue9,"ins",criteria2)</f>
        <v>#REF!</v>
      </c>
      <c r="AB22" t="e">
        <f>DGET(_wed9,"ins",criteria2)</f>
        <v>#REF!</v>
      </c>
      <c r="AC22" t="e">
        <f>DGET(_thu9,"ins",criteria2)</f>
        <v>#REF!</v>
      </c>
      <c r="AD22" t="e">
        <f>DGET(_fri9,"ins",criteria2)</f>
        <v>#REF!</v>
      </c>
    </row>
    <row r="23" spans="3:30" ht="18">
      <c r="C23" s="125" t="s">
        <v>21</v>
      </c>
      <c r="D23" s="5">
        <f t="shared" si="3"/>
      </c>
      <c r="E23" s="6">
        <f t="shared" si="2"/>
      </c>
      <c r="F23" s="5">
        <f t="shared" si="2"/>
      </c>
      <c r="G23" s="5">
        <f t="shared" si="2"/>
      </c>
      <c r="H23" s="8">
        <f t="shared" si="2"/>
      </c>
      <c r="Z23" t="e">
        <f>DGET(_mon10,"code",criteria2)</f>
        <v>#VALUE!</v>
      </c>
      <c r="AA23" t="e">
        <f>DGET(_tue10,"code",criteria2)</f>
        <v>#VALUE!</v>
      </c>
      <c r="AB23" t="e">
        <f>DGET(_wed10,"code",criteria2)</f>
        <v>#VALUE!</v>
      </c>
      <c r="AC23" t="e">
        <f>DGET(_thu10,"code",criteria2)</f>
        <v>#VALUE!</v>
      </c>
      <c r="AD23" t="e">
        <f>DGET(_fri10,"code",criteria2)</f>
        <v>#VALUE!</v>
      </c>
    </row>
    <row r="24" spans="3:30" ht="18">
      <c r="C24" s="126"/>
      <c r="D24" s="12">
        <f t="shared" si="3"/>
      </c>
      <c r="E24" s="7">
        <f t="shared" si="2"/>
      </c>
      <c r="F24" s="12">
        <f t="shared" si="2"/>
      </c>
      <c r="G24" s="12">
        <f t="shared" si="2"/>
      </c>
      <c r="H24" s="9">
        <f t="shared" si="2"/>
      </c>
      <c r="Z24" t="e">
        <f>DGET(_mon10,"ins",criteria2)</f>
        <v>#VALUE!</v>
      </c>
      <c r="AA24" t="e">
        <f>DGET(_tue10,"ins",criteria2)</f>
        <v>#VALUE!</v>
      </c>
      <c r="AB24" t="e">
        <f>DGET(_wed10,"ins",criteria2)</f>
        <v>#VALUE!</v>
      </c>
      <c r="AC24" t="e">
        <f>DGET(_thu10,"ins",criteria2)</f>
        <v>#VALUE!</v>
      </c>
      <c r="AD24" t="e">
        <f>DGET(_fri10,"ins",criteria2)</f>
        <v>#VALUE!</v>
      </c>
    </row>
    <row r="25" spans="3:30" ht="18">
      <c r="C25" s="127" t="s">
        <v>22</v>
      </c>
      <c r="D25" s="5">
        <f t="shared" si="3"/>
      </c>
      <c r="E25" s="6">
        <f t="shared" si="2"/>
      </c>
      <c r="F25" s="5">
        <f t="shared" si="2"/>
      </c>
      <c r="G25" s="5">
        <f t="shared" si="2"/>
      </c>
      <c r="H25" s="8">
        <f t="shared" si="2"/>
      </c>
      <c r="Z25" t="e">
        <f>DGET(_mon11,"code",criteria2)</f>
        <v>#VALUE!</v>
      </c>
      <c r="AA25" t="e">
        <f>DGET(_tue11,"code",criteria2)</f>
        <v>#VALUE!</v>
      </c>
      <c r="AB25" t="e">
        <f>DGET(_wed11,"code",criteria2)</f>
        <v>#VALUE!</v>
      </c>
      <c r="AC25" t="e">
        <f>DGET(_thu11,"code",criteria2)</f>
        <v>#VALUE!</v>
      </c>
      <c r="AD25" t="e">
        <f>DGET(_fri11,"code",criteria2)</f>
        <v>#VALUE!</v>
      </c>
    </row>
    <row r="26" spans="3:30" ht="18.75" thickBot="1">
      <c r="C26" s="128"/>
      <c r="D26" s="12">
        <f t="shared" si="3"/>
      </c>
      <c r="E26" s="7">
        <f t="shared" si="2"/>
      </c>
      <c r="F26" s="12">
        <f t="shared" si="2"/>
      </c>
      <c r="G26" s="12">
        <f t="shared" si="2"/>
      </c>
      <c r="H26" s="9">
        <f t="shared" si="2"/>
      </c>
      <c r="Z26" t="e">
        <f>DGET(_mon11,"ins",criteria2)</f>
        <v>#VALUE!</v>
      </c>
      <c r="AA26" t="e">
        <f>DGET(_tue11,"ins",criteria2)</f>
        <v>#VALUE!</v>
      </c>
      <c r="AB26" t="e">
        <f>DGET(_wed11,"ins",criteria2)</f>
        <v>#VALUE!</v>
      </c>
      <c r="AC26" t="e">
        <f>DGET(_thu11,"ins",criteria2)</f>
        <v>#VALUE!</v>
      </c>
      <c r="AD26" t="e">
        <f>DGET(_fri11,"ins",criteria2)</f>
        <v>#VALUE!</v>
      </c>
    </row>
    <row r="27" spans="3:30" ht="18.75" thickTop="1">
      <c r="C27" s="127" t="s">
        <v>23</v>
      </c>
      <c r="D27" s="5">
        <f t="shared" si="3"/>
      </c>
      <c r="E27" s="6">
        <f aca="true" t="shared" si="4" ref="E27:H28">IF(ISERROR(AA27),"",AA27)</f>
      </c>
      <c r="F27" s="5">
        <f t="shared" si="4"/>
      </c>
      <c r="G27" s="5">
        <f t="shared" si="4"/>
      </c>
      <c r="H27" s="8">
        <f t="shared" si="4"/>
      </c>
      <c r="Z27" t="e">
        <f>DGET(_mon12,"code",criteria2)</f>
        <v>#VALUE!</v>
      </c>
      <c r="AA27" t="e">
        <f>DGET(_tue12,"code",criteria2)</f>
        <v>#VALUE!</v>
      </c>
      <c r="AB27" t="e">
        <f>DGET(_wed12,"code",criteria2)</f>
        <v>#VALUE!</v>
      </c>
      <c r="AC27" t="e">
        <f>DGET(_thu12,"code",criteria2)</f>
        <v>#VALUE!</v>
      </c>
      <c r="AD27" t="e">
        <f>DGET(_fri12,"code",criteria2)</f>
        <v>#VALUE!</v>
      </c>
    </row>
    <row r="28" spans="3:30" ht="18.75" thickBot="1">
      <c r="C28" s="128"/>
      <c r="D28" s="13">
        <f t="shared" si="3"/>
      </c>
      <c r="E28" s="10">
        <f t="shared" si="4"/>
      </c>
      <c r="F28" s="13">
        <f t="shared" si="4"/>
      </c>
      <c r="G28" s="13">
        <f t="shared" si="4"/>
      </c>
      <c r="H28" s="11">
        <f t="shared" si="4"/>
      </c>
      <c r="Z28" t="e">
        <f>DGET(_mon12,"ins",criteria2)</f>
        <v>#VALUE!</v>
      </c>
      <c r="AA28" t="e">
        <f>DGET(_tue12,"ins",criteria2)</f>
        <v>#VALUE!</v>
      </c>
      <c r="AB28" t="e">
        <f>DGET(_wed12,"ins",criteria2)</f>
        <v>#VALUE!</v>
      </c>
      <c r="AC28" t="e">
        <f>DGET(_thu12,"ins",criteria2)</f>
        <v>#VALUE!</v>
      </c>
      <c r="AD28" t="e">
        <f>DGET(_fri12,"ins",criteria2)</f>
        <v>#VALUE!</v>
      </c>
    </row>
    <row r="29" spans="3:6" ht="13.5" thickTop="1">
      <c r="C29" s="29"/>
      <c r="F29" s="29"/>
    </row>
    <row r="30" spans="3:6" ht="12.75">
      <c r="C30" s="29"/>
      <c r="F30" s="29"/>
    </row>
    <row r="31" spans="3:6" ht="12.75">
      <c r="C31" s="29"/>
      <c r="F31" s="29"/>
    </row>
    <row r="32" ht="12.75">
      <c r="C32" s="29"/>
    </row>
  </sheetData>
  <sheetProtection/>
  <mergeCells count="14">
    <mergeCell ref="C1:H1"/>
    <mergeCell ref="C2:H3"/>
    <mergeCell ref="C13:C14"/>
    <mergeCell ref="C15:C16"/>
    <mergeCell ref="C5:C6"/>
    <mergeCell ref="C7:C8"/>
    <mergeCell ref="C9:C10"/>
    <mergeCell ref="C23:C24"/>
    <mergeCell ref="C25:C26"/>
    <mergeCell ref="C27:C28"/>
    <mergeCell ref="C11:C12"/>
    <mergeCell ref="C21:C22"/>
    <mergeCell ref="C19:C20"/>
    <mergeCell ref="C17:C18"/>
  </mergeCells>
  <printOptions/>
  <pageMargins left="0.7480314960629921" right="0.7480314960629921" top="1.7716535433070868" bottom="0.984251968503937" header="0.5118110236220472" footer="0.5118110236220472"/>
  <pageSetup fitToHeight="1" fitToWidth="1" horizontalDpi="600" verticalDpi="600" orientation="portrait" paperSize="9" scale="74" r:id="rId1"/>
  <headerFooter alignWithMargins="0">
    <oddHeader>&amp;C&amp;"Arial,Kalın"&amp;36GIRNE AMERICAN UNIVERSITY&amp;14
&amp;"Arial,Normal"&amp;28TECHNOPARK BUILDING&amp;14
&amp;"Arial,Kalın"&amp;18 2014-2015 SUMMER LECTURE ROOM TIME TABLE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1">
      <selection activeCell="A2" sqref="A2"/>
    </sheetView>
  </sheetViews>
  <sheetFormatPr defaultColWidth="9.7109375" defaultRowHeight="12.75"/>
  <cols>
    <col min="1" max="1" width="9.7109375" style="0" customWidth="1"/>
    <col min="2" max="2" width="11.421875" style="0" customWidth="1"/>
    <col min="3" max="3" width="9.7109375" style="0" customWidth="1"/>
    <col min="4" max="8" width="12.7109375" style="0" customWidth="1"/>
    <col min="9" max="12" width="9.7109375" style="0" customWidth="1"/>
    <col min="13" max="13" width="9.7109375" style="3" customWidth="1"/>
  </cols>
  <sheetData>
    <row r="1" spans="1:8" ht="23.25" customHeight="1">
      <c r="A1" s="2" t="s">
        <v>4</v>
      </c>
      <c r="C1" s="141"/>
      <c r="D1" s="142"/>
      <c r="E1" s="142"/>
      <c r="F1" s="142"/>
      <c r="G1" s="142"/>
      <c r="H1" s="143"/>
    </row>
    <row r="2" spans="1:8" ht="12.75">
      <c r="A2" s="2"/>
      <c r="C2" s="4"/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</row>
    <row r="3" spans="1:8" ht="12.75">
      <c r="A3" s="2"/>
      <c r="C3" s="144">
        <v>0.375</v>
      </c>
      <c r="D3" s="19" t="str">
        <f aca="true" t="shared" si="0" ref="D3:D20">IF(ISERROR(K31),IF(ERROR.TYPE(K31)=3,"","Clash"),K31)</f>
        <v>Clash</v>
      </c>
      <c r="E3" s="19" t="str">
        <f aca="true" t="shared" si="1" ref="E3:E20">IF(ISERROR(L31),IF(ERROR.TYPE(L31)=3,"","Clash"),L31)</f>
        <v>Clash</v>
      </c>
      <c r="F3" s="19" t="str">
        <f aca="true" t="shared" si="2" ref="F3:F20">IF(ISERROR(M31),IF(ERROR.TYPE(M31)=3,"","Clash"),M31)</f>
        <v>Clash</v>
      </c>
      <c r="G3" s="19" t="str">
        <f aca="true" t="shared" si="3" ref="G3:G20">IF(ISERROR(N31),IF(ERROR.TYPE(N31)=3,"","Clash"),N31)</f>
        <v>Clash</v>
      </c>
      <c r="H3" s="19" t="str">
        <f aca="true" t="shared" si="4" ref="H3:H20">IF(ISERROR(O31),IF(ERROR.TYPE(O31)=3,"","Clash"),O31)</f>
        <v>Clash</v>
      </c>
    </row>
    <row r="4" spans="1:8" ht="12.75">
      <c r="A4" s="2"/>
      <c r="C4" s="145"/>
      <c r="D4" s="20" t="str">
        <f t="shared" si="0"/>
        <v>Clash</v>
      </c>
      <c r="E4" s="20" t="str">
        <f t="shared" si="1"/>
        <v>Clash</v>
      </c>
      <c r="F4" s="20" t="str">
        <f t="shared" si="2"/>
        <v>Clash</v>
      </c>
      <c r="G4" s="20" t="str">
        <f t="shared" si="3"/>
        <v>Clash</v>
      </c>
      <c r="H4" s="20" t="str">
        <f t="shared" si="4"/>
        <v>Clash</v>
      </c>
    </row>
    <row r="5" spans="1:8" ht="12.75">
      <c r="A5" s="2"/>
      <c r="C5" s="144">
        <v>0.4166666666666667</v>
      </c>
      <c r="D5" s="19" t="str">
        <f t="shared" si="0"/>
        <v>Clash</v>
      </c>
      <c r="E5" s="19" t="str">
        <f t="shared" si="1"/>
        <v>Clash</v>
      </c>
      <c r="F5" s="19" t="str">
        <f t="shared" si="2"/>
        <v>Clash</v>
      </c>
      <c r="G5" s="19" t="str">
        <f t="shared" si="3"/>
        <v>Clash</v>
      </c>
      <c r="H5" s="19" t="str">
        <f t="shared" si="4"/>
        <v>Clash</v>
      </c>
    </row>
    <row r="6" spans="1:8" ht="12.75">
      <c r="A6" s="2"/>
      <c r="C6" s="145"/>
      <c r="D6" s="20" t="str">
        <f t="shared" si="0"/>
        <v>Clash</v>
      </c>
      <c r="E6" s="20" t="str">
        <f t="shared" si="1"/>
        <v>Clash</v>
      </c>
      <c r="F6" s="20" t="str">
        <f t="shared" si="2"/>
        <v>Clash</v>
      </c>
      <c r="G6" s="20" t="str">
        <f t="shared" si="3"/>
        <v>Clash</v>
      </c>
      <c r="H6" s="20" t="str">
        <f t="shared" si="4"/>
        <v>Clash</v>
      </c>
    </row>
    <row r="7" spans="1:8" ht="12.75">
      <c r="A7" s="2"/>
      <c r="C7" s="144">
        <v>0.458333333333333</v>
      </c>
      <c r="D7" s="19">
        <f t="shared" si="0"/>
      </c>
      <c r="E7" s="19">
        <f t="shared" si="1"/>
      </c>
      <c r="F7" s="19">
        <f t="shared" si="2"/>
      </c>
      <c r="G7" s="19">
        <f t="shared" si="3"/>
      </c>
      <c r="H7" s="19">
        <f t="shared" si="4"/>
      </c>
    </row>
    <row r="8" spans="1:8" ht="12.75">
      <c r="A8" s="2"/>
      <c r="C8" s="145"/>
      <c r="D8" s="20">
        <f t="shared" si="0"/>
      </c>
      <c r="E8" s="20">
        <f t="shared" si="1"/>
      </c>
      <c r="F8" s="20">
        <f t="shared" si="2"/>
      </c>
      <c r="G8" s="20">
        <f t="shared" si="3"/>
      </c>
      <c r="H8" s="20">
        <f t="shared" si="4"/>
      </c>
    </row>
    <row r="9" spans="1:8" ht="12.75">
      <c r="A9" s="2"/>
      <c r="C9" s="144">
        <v>0.5</v>
      </c>
      <c r="D9" s="19" t="str">
        <f t="shared" si="0"/>
        <v>Clash</v>
      </c>
      <c r="E9" s="19" t="str">
        <f t="shared" si="1"/>
        <v>Clash</v>
      </c>
      <c r="F9" s="19" t="str">
        <f t="shared" si="2"/>
        <v>Clash</v>
      </c>
      <c r="G9" s="19" t="str">
        <f t="shared" si="3"/>
        <v>Clash</v>
      </c>
      <c r="H9" s="19" t="str">
        <f>IF(ISERROR(O37),IF(ERROR.TYPE(O37)=3,"","Clash"),O37)</f>
        <v>Clash</v>
      </c>
    </row>
    <row r="10" spans="1:8" ht="12.75">
      <c r="A10" s="2"/>
      <c r="C10" s="145"/>
      <c r="D10" s="20" t="str">
        <f t="shared" si="0"/>
        <v>Clash</v>
      </c>
      <c r="E10" s="20" t="str">
        <f t="shared" si="1"/>
        <v>Clash</v>
      </c>
      <c r="F10" s="20" t="str">
        <f t="shared" si="2"/>
        <v>Clash</v>
      </c>
      <c r="G10" s="20" t="str">
        <f t="shared" si="3"/>
        <v>Clash</v>
      </c>
      <c r="H10" s="20" t="str">
        <f t="shared" si="4"/>
        <v>Clash</v>
      </c>
    </row>
    <row r="11" spans="1:8" ht="12.75">
      <c r="A11" s="30"/>
      <c r="C11" s="144">
        <v>0.5416666666666666</v>
      </c>
      <c r="D11" s="19" t="str">
        <f t="shared" si="0"/>
        <v>Clash</v>
      </c>
      <c r="E11" s="19" t="str">
        <f t="shared" si="1"/>
        <v>Clash</v>
      </c>
      <c r="F11" s="19" t="str">
        <f t="shared" si="2"/>
        <v>Clash</v>
      </c>
      <c r="G11" s="19" t="str">
        <f t="shared" si="3"/>
        <v>Clash</v>
      </c>
      <c r="H11" s="19" t="str">
        <f t="shared" si="4"/>
        <v>Clash</v>
      </c>
    </row>
    <row r="12" spans="3:8" ht="12.75">
      <c r="C12" s="146"/>
      <c r="D12" s="20" t="str">
        <f t="shared" si="0"/>
        <v>Clash</v>
      </c>
      <c r="E12" s="20" t="str">
        <f t="shared" si="1"/>
        <v>Clash</v>
      </c>
      <c r="F12" s="20" t="str">
        <f t="shared" si="2"/>
        <v>Clash</v>
      </c>
      <c r="G12" s="20" t="str">
        <f t="shared" si="3"/>
        <v>Clash</v>
      </c>
      <c r="H12" s="20" t="str">
        <f t="shared" si="4"/>
        <v>Clash</v>
      </c>
    </row>
    <row r="13" spans="3:8" ht="12.75">
      <c r="C13" s="144">
        <v>0.5833333333333334</v>
      </c>
      <c r="D13" s="19" t="str">
        <f t="shared" si="0"/>
        <v>Clash</v>
      </c>
      <c r="E13" s="19" t="str">
        <f t="shared" si="1"/>
        <v>Clash</v>
      </c>
      <c r="F13" s="19" t="str">
        <f t="shared" si="2"/>
        <v>Clash</v>
      </c>
      <c r="G13" s="19" t="str">
        <f t="shared" si="3"/>
        <v>Clash</v>
      </c>
      <c r="H13" s="19" t="str">
        <f t="shared" si="4"/>
        <v>Clash</v>
      </c>
    </row>
    <row r="14" spans="3:8" ht="12.75">
      <c r="C14" s="145"/>
      <c r="D14" s="20" t="str">
        <f t="shared" si="0"/>
        <v>Clash</v>
      </c>
      <c r="E14" s="20" t="str">
        <f t="shared" si="1"/>
        <v>Clash</v>
      </c>
      <c r="F14" s="20" t="str">
        <f t="shared" si="2"/>
        <v>Clash</v>
      </c>
      <c r="G14" s="20" t="str">
        <f t="shared" si="3"/>
        <v>Clash</v>
      </c>
      <c r="H14" s="20" t="str">
        <f t="shared" si="4"/>
        <v>Clash</v>
      </c>
    </row>
    <row r="15" spans="3:8" ht="12.75">
      <c r="C15" s="144">
        <v>0.625</v>
      </c>
      <c r="D15" s="19">
        <f t="shared" si="0"/>
      </c>
      <c r="E15" s="19">
        <f t="shared" si="1"/>
      </c>
      <c r="F15" s="19">
        <f t="shared" si="2"/>
      </c>
      <c r="G15" s="19">
        <f t="shared" si="3"/>
      </c>
      <c r="H15" s="19">
        <f t="shared" si="4"/>
      </c>
    </row>
    <row r="16" spans="3:10" ht="12.75">
      <c r="C16" s="145"/>
      <c r="D16" s="20">
        <f t="shared" si="0"/>
      </c>
      <c r="E16" s="20" t="str">
        <f t="shared" si="1"/>
        <v>Clash</v>
      </c>
      <c r="F16" s="20" t="str">
        <f t="shared" si="2"/>
        <v>Clash</v>
      </c>
      <c r="G16" s="20" t="str">
        <f t="shared" si="3"/>
        <v>Clash</v>
      </c>
      <c r="H16" s="20" t="str">
        <f t="shared" si="4"/>
        <v>Clash</v>
      </c>
      <c r="J16" s="33"/>
    </row>
    <row r="17" spans="3:8" ht="12.75">
      <c r="C17" s="144">
        <v>0.6666666666666666</v>
      </c>
      <c r="D17" s="19" t="str">
        <f t="shared" si="0"/>
        <v>Clash</v>
      </c>
      <c r="E17" s="19" t="str">
        <f t="shared" si="1"/>
        <v>Clash</v>
      </c>
      <c r="F17" s="19" t="str">
        <f t="shared" si="2"/>
        <v>Clash</v>
      </c>
      <c r="G17" s="19" t="str">
        <f t="shared" si="3"/>
        <v>Clash</v>
      </c>
      <c r="H17" s="19" t="str">
        <f t="shared" si="4"/>
        <v>Clash</v>
      </c>
    </row>
    <row r="18" spans="3:8" ht="12.75">
      <c r="C18" s="145"/>
      <c r="D18" s="20" t="str">
        <f t="shared" si="0"/>
        <v>Clash</v>
      </c>
      <c r="E18" s="20" t="str">
        <f t="shared" si="1"/>
        <v>Clash</v>
      </c>
      <c r="F18" s="20" t="str">
        <f t="shared" si="2"/>
        <v>Clash</v>
      </c>
      <c r="G18" s="20" t="str">
        <f t="shared" si="3"/>
        <v>Clash</v>
      </c>
      <c r="H18" s="20" t="str">
        <f t="shared" si="4"/>
        <v>Clash</v>
      </c>
    </row>
    <row r="19" spans="3:8" ht="12.75">
      <c r="C19" s="144">
        <v>0.7083333333333334</v>
      </c>
      <c r="D19" s="19" t="str">
        <f t="shared" si="0"/>
        <v>Clash</v>
      </c>
      <c r="E19" s="19" t="str">
        <f t="shared" si="1"/>
        <v>Clash</v>
      </c>
      <c r="F19" s="19" t="str">
        <f t="shared" si="2"/>
        <v>Clash</v>
      </c>
      <c r="G19" s="19" t="str">
        <f t="shared" si="3"/>
        <v>Clash</v>
      </c>
      <c r="H19" s="19" t="str">
        <f t="shared" si="4"/>
        <v>Clash</v>
      </c>
    </row>
    <row r="20" spans="3:8" ht="12.75">
      <c r="C20" s="145"/>
      <c r="D20" s="20" t="str">
        <f t="shared" si="0"/>
        <v>Clash</v>
      </c>
      <c r="E20" s="20" t="str">
        <f t="shared" si="1"/>
        <v>Clash</v>
      </c>
      <c r="F20" s="20" t="str">
        <f t="shared" si="2"/>
        <v>Clash</v>
      </c>
      <c r="G20" s="20" t="str">
        <f t="shared" si="3"/>
        <v>Clash</v>
      </c>
      <c r="H20" s="20" t="str">
        <f t="shared" si="4"/>
        <v>Clash</v>
      </c>
    </row>
    <row r="25" ht="83.25" customHeight="1" hidden="1"/>
    <row r="26" ht="12.75" hidden="1"/>
    <row r="27" ht="12.75" hidden="1"/>
    <row r="28" ht="12.75" hidden="1"/>
    <row r="29" ht="12.75" hidden="1">
      <c r="M29"/>
    </row>
    <row r="30" spans="11:15" ht="12.75" hidden="1">
      <c r="K30" t="s">
        <v>6</v>
      </c>
      <c r="L30" t="s">
        <v>7</v>
      </c>
      <c r="M30" t="s">
        <v>8</v>
      </c>
      <c r="N30" t="s">
        <v>9</v>
      </c>
      <c r="O30" t="s">
        <v>10</v>
      </c>
    </row>
    <row r="31" spans="10:15" ht="12.75" hidden="1">
      <c r="J31" s="139">
        <v>0.375</v>
      </c>
      <c r="K31" t="e">
        <f>DGET(_mon1,"code",Criteria1)</f>
        <v>#NUM!</v>
      </c>
      <c r="L31" t="e">
        <f>DGET(_tue1,"code",Criteria1)</f>
        <v>#NUM!</v>
      </c>
      <c r="M31" t="e">
        <f>DGET(_wed1,"code",Criteria1)</f>
        <v>#NUM!</v>
      </c>
      <c r="N31" t="e">
        <f>DGET(_thu1,"code",Criteria1)</f>
        <v>#NUM!</v>
      </c>
      <c r="O31" t="e">
        <f>DGET(_fri1,"code",Criteria1)</f>
        <v>#NUM!</v>
      </c>
    </row>
    <row r="32" spans="10:15" ht="12.75" hidden="1">
      <c r="J32" s="140"/>
      <c r="K32" t="e">
        <f>DGET(_mon1,"room",Criteria1)</f>
        <v>#NUM!</v>
      </c>
      <c r="L32" t="e">
        <f>DGET(_tue1,"room",Criteria1)</f>
        <v>#NUM!</v>
      </c>
      <c r="M32" t="e">
        <f>DGET(_wed1,"room",Criteria1)</f>
        <v>#NUM!</v>
      </c>
      <c r="N32" t="e">
        <f>DGET(_thu1,"room",Criteria1)</f>
        <v>#NUM!</v>
      </c>
      <c r="O32" t="e">
        <f>DGET(_fri1,"room",Criteria1)</f>
        <v>#NUM!</v>
      </c>
    </row>
    <row r="33" spans="10:15" ht="12.75" hidden="1">
      <c r="J33" s="139">
        <v>0.4166666666666667</v>
      </c>
      <c r="K33" t="e">
        <f>DGET(_mon2,"code",Criteria1)</f>
        <v>#REF!</v>
      </c>
      <c r="L33" t="e">
        <f>DGET(_tue2,"code",Criteria1)</f>
        <v>#REF!</v>
      </c>
      <c r="M33" t="e">
        <f>DGET(_wed2,"code",Criteria1)</f>
        <v>#REF!</v>
      </c>
      <c r="N33" t="e">
        <f>DGET(_thu2,"code",Criteria1)</f>
        <v>#REF!</v>
      </c>
      <c r="O33" t="e">
        <f>DGET(_fri2,"code",Criteria1)</f>
        <v>#REF!</v>
      </c>
    </row>
    <row r="34" spans="10:15" ht="12.75" hidden="1">
      <c r="J34" s="140"/>
      <c r="K34" t="e">
        <f>DGET(_mon2,"room",Criteria1)</f>
        <v>#REF!</v>
      </c>
      <c r="L34" t="e">
        <f>DGET(_tue2,"room",Criteria1)</f>
        <v>#REF!</v>
      </c>
      <c r="M34" t="e">
        <f>DGET(_wed2,"room",Criteria1)</f>
        <v>#REF!</v>
      </c>
      <c r="N34" t="e">
        <f>DGET(_thu2,"room",Criteria1)</f>
        <v>#REF!</v>
      </c>
      <c r="O34" t="e">
        <f>DGET(_fri2,"room",Criteria1)</f>
        <v>#REF!</v>
      </c>
    </row>
    <row r="35" spans="10:15" ht="12.75" hidden="1">
      <c r="J35" s="139">
        <v>0.4583333333333333</v>
      </c>
      <c r="K35" t="e">
        <f>DGET(_mon3,"code",Criteria1)</f>
        <v>#VALUE!</v>
      </c>
      <c r="L35" t="e">
        <f>DGET(_tue3,"code",Criteria1)</f>
        <v>#VALUE!</v>
      </c>
      <c r="M35" t="e">
        <f>DGET(_wed3,"code",Criteria1)</f>
        <v>#VALUE!</v>
      </c>
      <c r="N35" t="e">
        <f>DGET(_thu3,"code",Criteria1)</f>
        <v>#VALUE!</v>
      </c>
      <c r="O35" t="e">
        <f>DGET(_fri3,"code",Criteria1)</f>
        <v>#VALUE!</v>
      </c>
    </row>
    <row r="36" spans="10:15" ht="12.75" hidden="1">
      <c r="J36" s="140"/>
      <c r="K36" t="e">
        <f>DGET(_mon3,"room",Criteria1)</f>
        <v>#VALUE!</v>
      </c>
      <c r="L36" t="e">
        <f>DGET(_tue3,"room",Criteria1)</f>
        <v>#VALUE!</v>
      </c>
      <c r="M36" t="e">
        <f>DGET(_wed3,"room",Criteria1)</f>
        <v>#VALUE!</v>
      </c>
      <c r="N36" t="e">
        <f>DGET(_thu3,"room",Criteria1)</f>
        <v>#VALUE!</v>
      </c>
      <c r="O36" t="e">
        <f>DGET(_fri3,"room",Criteria1)</f>
        <v>#VALUE!</v>
      </c>
    </row>
    <row r="37" spans="10:15" ht="12.75" hidden="1">
      <c r="J37" s="139">
        <v>0.5</v>
      </c>
      <c r="K37" t="e">
        <f>DGET(_mon4,"code",Criteria1)</f>
        <v>#NUM!</v>
      </c>
      <c r="L37" t="e">
        <f>DGET(_tue4,"code",Criteria1)</f>
        <v>#NUM!</v>
      </c>
      <c r="M37" t="e">
        <f>DGET(_wed4,"code",Criteria1)</f>
        <v>#NUM!</v>
      </c>
      <c r="N37" t="e">
        <f>DGET(_thu4,"code",Criteria1)</f>
        <v>#NUM!</v>
      </c>
      <c r="O37" t="e">
        <f>DGET(_fri4,"code",Criteria1)</f>
        <v>#NUM!</v>
      </c>
    </row>
    <row r="38" spans="10:15" ht="12.75" hidden="1">
      <c r="J38" s="140"/>
      <c r="K38" t="e">
        <f>DGET(_mon4,"room",Criteria1)</f>
        <v>#NUM!</v>
      </c>
      <c r="L38" t="e">
        <f>DGET(_tue4,"room",Criteria1)</f>
        <v>#NUM!</v>
      </c>
      <c r="M38" t="e">
        <f>DGET(_wed4,"room",Criteria1)</f>
        <v>#NUM!</v>
      </c>
      <c r="N38" t="e">
        <f>DGET(_thu4,"room",Criteria1)</f>
        <v>#NUM!</v>
      </c>
      <c r="O38" t="e">
        <f>DGET(_fri4,"room",Criteria1)</f>
        <v>#NUM!</v>
      </c>
    </row>
    <row r="39" spans="10:15" ht="12.75" hidden="1">
      <c r="J39" s="139">
        <v>0.5416666666666666</v>
      </c>
      <c r="K39" t="e">
        <f>DGET(_mon5,"code",Criteria1)</f>
        <v>#REF!</v>
      </c>
      <c r="L39" t="e">
        <f>DGET(_tue5,"code",Criteria1)</f>
        <v>#REF!</v>
      </c>
      <c r="M39" t="e">
        <f>DGET(_wed5,"code",Criteria1)</f>
        <v>#REF!</v>
      </c>
      <c r="N39" t="e">
        <f>DGET(_thu5,"code",Criteria1)</f>
        <v>#REF!</v>
      </c>
      <c r="O39" t="e">
        <f>DGET(_fri5,"code",Criteria1)</f>
        <v>#REF!</v>
      </c>
    </row>
    <row r="40" spans="10:15" ht="12.75" hidden="1">
      <c r="J40" s="139"/>
      <c r="K40" t="e">
        <f>DGET(_mon5,"room",Criteria1)</f>
        <v>#REF!</v>
      </c>
      <c r="L40" t="e">
        <f>DGET(_tue5,"room",Criteria1)</f>
        <v>#REF!</v>
      </c>
      <c r="M40" t="e">
        <f>DGET(_wed5,"room",Criteria1)</f>
        <v>#REF!</v>
      </c>
      <c r="N40" t="e">
        <f>DGET(_thu5,"room",Criteria1)</f>
        <v>#REF!</v>
      </c>
      <c r="O40" t="e">
        <f>DGET(_fri5,"room",Criteria1)</f>
        <v>#REF!</v>
      </c>
    </row>
    <row r="41" spans="10:15" ht="12.75" hidden="1">
      <c r="J41" s="139">
        <v>0.5833333333333334</v>
      </c>
      <c r="K41" t="e">
        <f>DGET(_mon6,"code",Criteria1)</f>
        <v>#REF!</v>
      </c>
      <c r="L41" t="e">
        <f>DGET(_tue6,"code",Criteria1)</f>
        <v>#REF!</v>
      </c>
      <c r="M41" t="e">
        <f>DGET(_wed6,"code",Criteria1)</f>
        <v>#REF!</v>
      </c>
      <c r="N41" t="e">
        <f>DGET(_thu6,"code",Criteria1)</f>
        <v>#REF!</v>
      </c>
      <c r="O41" t="e">
        <f>DGET(_fri6,"code",Criteria1)</f>
        <v>#REF!</v>
      </c>
    </row>
    <row r="42" spans="10:15" ht="12.75" hidden="1">
      <c r="J42" s="140"/>
      <c r="K42" t="e">
        <f>DGET(_mon6,"room",Criteria1)</f>
        <v>#REF!</v>
      </c>
      <c r="L42" t="e">
        <f>DGET(_tue6,"room",Criteria1)</f>
        <v>#REF!</v>
      </c>
      <c r="M42" t="e">
        <f>DGET(_wed6,"room",Criteria1)</f>
        <v>#REF!</v>
      </c>
      <c r="N42" t="e">
        <f>DGET(_thu6,"room",Criteria1)</f>
        <v>#REF!</v>
      </c>
      <c r="O42" t="e">
        <f>DGET(_fri6,"room",Criteria1)</f>
        <v>#REF!</v>
      </c>
    </row>
    <row r="43" spans="10:15" ht="12.75" hidden="1">
      <c r="J43" s="139">
        <v>0.625</v>
      </c>
      <c r="K43" t="e">
        <f>DGET(_mon7,"code",Criteria1)</f>
        <v>#VALUE!</v>
      </c>
      <c r="L43" t="e">
        <f>DGET(_tue7,"code",Criteria1)</f>
        <v>#VALUE!</v>
      </c>
      <c r="M43" t="e">
        <f>DGET(_wed7,"code",Criteria1)</f>
        <v>#VALUE!</v>
      </c>
      <c r="N43" t="e">
        <f>DGET(_thu7,"code",Criteria1)</f>
        <v>#VALUE!</v>
      </c>
      <c r="O43" t="e">
        <f>DGET(_fri7,"code",Criteria1)</f>
        <v>#VALUE!</v>
      </c>
    </row>
    <row r="44" spans="10:15" ht="12.75" hidden="1">
      <c r="J44" s="140"/>
      <c r="K44" t="e">
        <f>DGET(_mon7,"room",Criteria1)</f>
        <v>#VALUE!</v>
      </c>
      <c r="L44" t="e">
        <f>DGET(_tue7,"room",Criteria1)</f>
        <v>#NUM!</v>
      </c>
      <c r="M44" t="e">
        <f>DGET(_wed7,"room",Criteria1)</f>
        <v>#NUM!</v>
      </c>
      <c r="N44" t="e">
        <f>DGET(_thu7,"room",Criteria1)</f>
        <v>#NUM!</v>
      </c>
      <c r="O44" t="e">
        <f>DGET(_fri7,"room",Criteria1)</f>
        <v>#NUM!</v>
      </c>
    </row>
    <row r="45" spans="10:15" ht="12.75" hidden="1">
      <c r="J45" s="139">
        <v>0.6666666666666666</v>
      </c>
      <c r="K45" t="e">
        <f>DGET(_mon8,"code",Criteria1)</f>
        <v>#REF!</v>
      </c>
      <c r="L45" t="e">
        <f>DGET(_tue8,"code",Criteria1)</f>
        <v>#REF!</v>
      </c>
      <c r="M45" t="e">
        <f>DGET(_wed8,"code",Criteria1)</f>
        <v>#REF!</v>
      </c>
      <c r="N45" t="e">
        <f>DGET(_thu8,"code",Criteria1)</f>
        <v>#REF!</v>
      </c>
      <c r="O45" t="e">
        <f>DGET(_fri8,"code",Criteria1)</f>
        <v>#REF!</v>
      </c>
    </row>
    <row r="46" spans="10:15" ht="12.75" hidden="1">
      <c r="J46" s="140"/>
      <c r="K46" t="e">
        <f>DGET(_mon8,"room",Criteria1)</f>
        <v>#REF!</v>
      </c>
      <c r="L46" t="e">
        <f>DGET(_tue8,"room",Criteria1)</f>
        <v>#REF!</v>
      </c>
      <c r="M46" t="e">
        <f>DGET(_wed8,"room",Criteria1)</f>
        <v>#REF!</v>
      </c>
      <c r="N46" t="e">
        <f>DGET(_thu8,"room",Criteria1)</f>
        <v>#REF!</v>
      </c>
      <c r="O46" t="e">
        <f>DGET(_fri8,"room",Criteria1)</f>
        <v>#REF!</v>
      </c>
    </row>
    <row r="47" spans="10:15" ht="12.75" hidden="1">
      <c r="J47" s="139">
        <v>0.7083333333333334</v>
      </c>
      <c r="K47" t="e">
        <f>DGET(_mon9,"code",Criteria1)</f>
        <v>#REF!</v>
      </c>
      <c r="L47" t="e">
        <f>DGET(_tue9,"code",Criteria1)</f>
        <v>#REF!</v>
      </c>
      <c r="M47" t="e">
        <f>DGET(_wed9,"code",Criteria1)</f>
        <v>#REF!</v>
      </c>
      <c r="N47" t="e">
        <f>DGET(_thu9,"code",Criteria1)</f>
        <v>#REF!</v>
      </c>
      <c r="O47" t="e">
        <f>DGET(_fri9,"code",Criteria1)</f>
        <v>#REF!</v>
      </c>
    </row>
    <row r="48" spans="10:15" ht="12.75" hidden="1">
      <c r="J48" s="140"/>
      <c r="K48" t="e">
        <f>DGET(_mon9,"room",Criteria1)</f>
        <v>#REF!</v>
      </c>
      <c r="L48" t="e">
        <f>DGET(_tue9,"room",Criteria1)</f>
        <v>#REF!</v>
      </c>
      <c r="M48" t="e">
        <f>DGET(_wed9,"room",Criteria1)</f>
        <v>#REF!</v>
      </c>
      <c r="N48" t="e">
        <f>DGET(_thu9,"room",Criteria1)</f>
        <v>#REF!</v>
      </c>
      <c r="O48" t="e">
        <f>DGET(_fri9,"room",Criteria1)</f>
        <v>#REF!</v>
      </c>
    </row>
    <row r="49" spans="10:15" ht="12.75" hidden="1">
      <c r="J49" s="139">
        <v>0.75</v>
      </c>
      <c r="K49" t="e">
        <f>DGET(_mon10,"code",Criteria1)</f>
        <v>#VALUE!</v>
      </c>
      <c r="L49" t="e">
        <f>DGET(_tue10,"code",Criteria1)</f>
        <v>#VALUE!</v>
      </c>
      <c r="M49" t="e">
        <f>DGET(_wed10,"code",Criteria1)</f>
        <v>#VALUE!</v>
      </c>
      <c r="N49" t="e">
        <f>DGET(_thu10,"code",Criteria1)</f>
        <v>#VALUE!</v>
      </c>
      <c r="O49" t="e">
        <f>DGET(_fri10,"code",Criteria1)</f>
        <v>#VALUE!</v>
      </c>
    </row>
    <row r="50" spans="10:15" ht="12.75" hidden="1">
      <c r="J50" s="140"/>
      <c r="K50" t="e">
        <f>DGET(_mon10,"room",Criteria1)</f>
        <v>#VALUE!</v>
      </c>
      <c r="L50" t="e">
        <f>DGET(_tue10,"room",Criteria1)</f>
        <v>#VALUE!</v>
      </c>
      <c r="M50" t="e">
        <f>DGET(_wed10,"room",Criteria1)</f>
        <v>#VALUE!</v>
      </c>
      <c r="N50" t="e">
        <f>DGET(_thu10,"room",Criteria1)</f>
        <v>#VALUE!</v>
      </c>
      <c r="O50" t="e">
        <f>DGET(_fri10,"room",Criteria1)</f>
        <v>#VALUE!</v>
      </c>
    </row>
    <row r="51" ht="12.75" hidden="1"/>
    <row r="52" ht="12.75" hidden="1"/>
    <row r="53" ht="12.75" hidden="1"/>
    <row r="54" ht="12.75" hidden="1"/>
    <row r="55" ht="12.75" hidden="1"/>
  </sheetData>
  <sheetProtection/>
  <mergeCells count="20">
    <mergeCell ref="J49:J50"/>
    <mergeCell ref="C3:C4"/>
    <mergeCell ref="C5:C6"/>
    <mergeCell ref="C7:C8"/>
    <mergeCell ref="C9:C10"/>
    <mergeCell ref="C11:C12"/>
    <mergeCell ref="C13:C14"/>
    <mergeCell ref="J45:J46"/>
    <mergeCell ref="J31:J32"/>
    <mergeCell ref="J33:J34"/>
    <mergeCell ref="J43:J44"/>
    <mergeCell ref="C1:H1"/>
    <mergeCell ref="C19:C20"/>
    <mergeCell ref="J47:J48"/>
    <mergeCell ref="J35:J36"/>
    <mergeCell ref="J37:J38"/>
    <mergeCell ref="C15:C16"/>
    <mergeCell ref="C17:C18"/>
    <mergeCell ref="J39:J40"/>
    <mergeCell ref="J41:J42"/>
  </mergeCells>
  <printOptions/>
  <pageMargins left="1.4960629921259843" right="0.7480314960629921" top="0.9055118110236221" bottom="7.440944881889764" header="0.4724409448818898" footer="7.086614173228347"/>
  <pageSetup fitToHeight="1" fitToWidth="1" horizontalDpi="600" verticalDpi="600" orientation="portrait" paperSize="9" scale="93" r:id="rId1"/>
  <headerFooter alignWithMargins="0">
    <oddHeader>&amp;C&amp;"Arial,Kalın"&amp;12Faculty of Engineering&amp;"Arial,Normal"&amp;10
SUMMER&amp;12 2015&amp;R&amp;D</oddHeader>
    <oddFooter>&amp;LNote: Laboratory sections of ENG102, ENG201, ENG203 and ENG205 should be arranged with your lecturersassistants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A6">
      <selection activeCell="A3" sqref="A3"/>
    </sheetView>
  </sheetViews>
  <sheetFormatPr defaultColWidth="9.140625" defaultRowHeight="12.75"/>
  <cols>
    <col min="3" max="3" width="8.57421875" style="0" customWidth="1"/>
    <col min="4" max="4" width="24.7109375" style="0" customWidth="1"/>
    <col min="5" max="5" width="22.140625" style="0" customWidth="1"/>
    <col min="6" max="6" width="18.7109375" style="0" customWidth="1"/>
    <col min="7" max="7" width="24.57421875" style="0" customWidth="1"/>
    <col min="8" max="8" width="17.8515625" style="0" customWidth="1"/>
  </cols>
  <sheetData>
    <row r="1" ht="12.75">
      <c r="A1" s="28" t="s">
        <v>5</v>
      </c>
    </row>
    <row r="2" ht="13.5" thickBot="1">
      <c r="A2" s="28" t="s">
        <v>26</v>
      </c>
    </row>
    <row r="3" spans="1:8" ht="13.5" thickTop="1">
      <c r="A3" s="46" t="s">
        <v>26</v>
      </c>
      <c r="C3" s="152" t="s">
        <v>26</v>
      </c>
      <c r="D3" s="153"/>
      <c r="E3" s="153"/>
      <c r="F3" s="153"/>
      <c r="G3" s="153"/>
      <c r="H3" s="154"/>
    </row>
    <row r="4" spans="3:8" ht="13.5" thickBot="1">
      <c r="C4" s="155"/>
      <c r="D4" s="156"/>
      <c r="E4" s="156"/>
      <c r="F4" s="156"/>
      <c r="G4" s="156"/>
      <c r="H4" s="157"/>
    </row>
    <row r="5" spans="3:8" s="21" customFormat="1" ht="19.5" thickBot="1" thickTop="1">
      <c r="C5" s="22"/>
      <c r="D5" s="23" t="s">
        <v>6</v>
      </c>
      <c r="E5" s="24" t="s">
        <v>7</v>
      </c>
      <c r="F5" s="23" t="s">
        <v>8</v>
      </c>
      <c r="G5" s="23" t="s">
        <v>9</v>
      </c>
      <c r="H5" s="25" t="s">
        <v>10</v>
      </c>
    </row>
    <row r="6" spans="3:8" ht="18.75" thickTop="1">
      <c r="C6" s="149">
        <v>0.375</v>
      </c>
      <c r="D6" s="15">
        <f aca="true" t="shared" si="0" ref="D6:D21">IF(ISERROR(N33),"",N33)</f>
      </c>
      <c r="E6" s="15">
        <f aca="true" t="shared" si="1" ref="E6:E21">IF(ISERROR(O33),"",O33)</f>
      </c>
      <c r="F6" s="15">
        <f aca="true" t="shared" si="2" ref="F6:F21">IF(ISERROR(P33),"",P33)</f>
      </c>
      <c r="G6" s="15">
        <f aca="true" t="shared" si="3" ref="G6:G21">IF(ISERROR(Q33),"",Q33)</f>
      </c>
      <c r="H6" s="16">
        <f aca="true" t="shared" si="4" ref="H6:H21">IF(ISERROR(R33),"",R33)</f>
      </c>
    </row>
    <row r="7" spans="3:8" ht="18">
      <c r="C7" s="148"/>
      <c r="D7" s="12">
        <f t="shared" si="0"/>
      </c>
      <c r="E7" s="12">
        <f t="shared" si="1"/>
      </c>
      <c r="F7" s="12">
        <f t="shared" si="2"/>
      </c>
      <c r="G7" s="12">
        <f t="shared" si="3"/>
      </c>
      <c r="H7" s="18">
        <f t="shared" si="4"/>
      </c>
    </row>
    <row r="8" spans="3:8" ht="18">
      <c r="C8" s="149">
        <v>0.4166666666666667</v>
      </c>
      <c r="D8" s="15">
        <f t="shared" si="0"/>
      </c>
      <c r="E8" s="15">
        <f t="shared" si="1"/>
      </c>
      <c r="F8" s="15">
        <f t="shared" si="2"/>
      </c>
      <c r="G8" s="15">
        <f t="shared" si="3"/>
      </c>
      <c r="H8" s="16">
        <f t="shared" si="4"/>
      </c>
    </row>
    <row r="9" spans="3:8" ht="18">
      <c r="C9" s="150"/>
      <c r="D9" s="15">
        <f t="shared" si="0"/>
      </c>
      <c r="E9" s="15">
        <f t="shared" si="1"/>
      </c>
      <c r="F9" s="15">
        <f t="shared" si="2"/>
      </c>
      <c r="G9" s="15">
        <f t="shared" si="3"/>
      </c>
      <c r="H9" s="16">
        <f t="shared" si="4"/>
      </c>
    </row>
    <row r="10" spans="3:11" ht="18">
      <c r="C10" s="147">
        <v>0.4583333333333333</v>
      </c>
      <c r="D10" s="5"/>
      <c r="E10" s="5"/>
      <c r="F10" s="5"/>
      <c r="G10" s="5"/>
      <c r="H10" s="14"/>
      <c r="K10" s="46"/>
    </row>
    <row r="11" spans="3:12" ht="18">
      <c r="C11" s="148"/>
      <c r="D11" s="12">
        <f t="shared" si="0"/>
      </c>
      <c r="E11" s="12">
        <f t="shared" si="1"/>
      </c>
      <c r="F11" s="12">
        <f t="shared" si="2"/>
      </c>
      <c r="G11" s="12">
        <f t="shared" si="3"/>
      </c>
      <c r="H11" s="18">
        <f t="shared" si="4"/>
      </c>
      <c r="K11" s="46"/>
      <c r="L11" s="46"/>
    </row>
    <row r="12" spans="3:12" ht="18">
      <c r="C12" s="149">
        <v>0.5</v>
      </c>
      <c r="D12" s="15">
        <f t="shared" si="0"/>
      </c>
      <c r="E12" s="15" t="str">
        <f t="shared" si="1"/>
        <v>PRE307.2/DPY303.2/YMB301.2</v>
      </c>
      <c r="F12" s="15">
        <f t="shared" si="2"/>
      </c>
      <c r="G12" s="15">
        <f t="shared" si="3"/>
      </c>
      <c r="H12" s="16">
        <f t="shared" si="4"/>
      </c>
      <c r="L12" s="46"/>
    </row>
    <row r="13" spans="3:12" ht="18">
      <c r="C13" s="150"/>
      <c r="D13" s="15">
        <f t="shared" si="0"/>
      </c>
      <c r="E13" s="15" t="str">
        <f t="shared" si="1"/>
        <v>TP 205</v>
      </c>
      <c r="F13" s="15">
        <f t="shared" si="2"/>
      </c>
      <c r="G13" s="15">
        <f t="shared" si="3"/>
      </c>
      <c r="H13" s="16">
        <f t="shared" si="4"/>
      </c>
      <c r="L13" s="46"/>
    </row>
    <row r="14" spans="3:12" ht="18">
      <c r="C14" s="147">
        <v>0.5416666666666666</v>
      </c>
      <c r="D14" s="5">
        <f t="shared" si="0"/>
      </c>
      <c r="E14" s="5">
        <f t="shared" si="1"/>
      </c>
      <c r="F14" s="5">
        <f t="shared" si="2"/>
      </c>
      <c r="G14" s="5">
        <f t="shared" si="3"/>
      </c>
      <c r="H14" s="14">
        <f t="shared" si="4"/>
      </c>
      <c r="K14" s="46"/>
      <c r="L14" s="46"/>
    </row>
    <row r="15" spans="3:11" ht="18">
      <c r="C15" s="147"/>
      <c r="D15" s="12">
        <f t="shared" si="0"/>
      </c>
      <c r="E15" s="12">
        <f t="shared" si="1"/>
      </c>
      <c r="F15" s="12">
        <f t="shared" si="2"/>
      </c>
      <c r="G15" s="12">
        <f t="shared" si="3"/>
      </c>
      <c r="H15" s="18">
        <f t="shared" si="4"/>
      </c>
      <c r="K15" s="46"/>
    </row>
    <row r="16" spans="3:8" ht="18">
      <c r="C16" s="149">
        <v>0.5833333333333334</v>
      </c>
      <c r="D16" s="15">
        <f t="shared" si="0"/>
      </c>
      <c r="E16" s="15">
        <f t="shared" si="1"/>
      </c>
      <c r="F16" s="15">
        <f t="shared" si="2"/>
      </c>
      <c r="G16" s="15">
        <f t="shared" si="3"/>
      </c>
      <c r="H16" s="16">
        <f t="shared" si="4"/>
      </c>
    </row>
    <row r="17" spans="3:8" ht="18">
      <c r="C17" s="150"/>
      <c r="D17" s="15">
        <f t="shared" si="0"/>
      </c>
      <c r="E17" s="15">
        <f t="shared" si="1"/>
      </c>
      <c r="F17" s="15">
        <f t="shared" si="2"/>
      </c>
      <c r="G17" s="15">
        <f t="shared" si="3"/>
      </c>
      <c r="H17" s="16">
        <f t="shared" si="4"/>
      </c>
    </row>
    <row r="18" spans="3:12" ht="18">
      <c r="C18" s="147">
        <v>0.625</v>
      </c>
      <c r="D18" s="5">
        <f t="shared" si="0"/>
      </c>
      <c r="E18" s="5">
        <f t="shared" si="1"/>
      </c>
      <c r="F18" s="5">
        <f t="shared" si="2"/>
      </c>
      <c r="G18" s="5">
        <f t="shared" si="3"/>
      </c>
      <c r="H18" s="14">
        <f t="shared" si="4"/>
      </c>
      <c r="K18" s="46"/>
      <c r="L18" s="46"/>
    </row>
    <row r="19" spans="3:12" ht="18">
      <c r="C19" s="148"/>
      <c r="D19" s="12">
        <f t="shared" si="0"/>
      </c>
      <c r="E19" s="12">
        <f t="shared" si="1"/>
      </c>
      <c r="F19" s="12">
        <f t="shared" si="2"/>
      </c>
      <c r="G19" s="12">
        <f t="shared" si="3"/>
      </c>
      <c r="H19" s="18">
        <f t="shared" si="4"/>
      </c>
      <c r="L19" s="46"/>
    </row>
    <row r="20" spans="3:12" ht="18">
      <c r="C20" s="149">
        <v>0.6666666666666666</v>
      </c>
      <c r="D20" s="15">
        <f t="shared" si="0"/>
      </c>
      <c r="E20" s="15">
        <f t="shared" si="1"/>
      </c>
      <c r="F20" s="15">
        <f t="shared" si="2"/>
      </c>
      <c r="G20" s="15">
        <f t="shared" si="3"/>
      </c>
      <c r="H20" s="16">
        <f t="shared" si="4"/>
      </c>
      <c r="K20" s="46"/>
      <c r="L20" s="46"/>
    </row>
    <row r="21" spans="3:8" ht="18">
      <c r="C21" s="150"/>
      <c r="D21" s="15">
        <f t="shared" si="0"/>
      </c>
      <c r="E21" s="15">
        <f t="shared" si="1"/>
      </c>
      <c r="F21" s="15">
        <f t="shared" si="2"/>
      </c>
      <c r="G21" s="15">
        <f t="shared" si="3"/>
      </c>
      <c r="H21" s="16">
        <f t="shared" si="4"/>
      </c>
    </row>
    <row r="22" spans="3:12" ht="18">
      <c r="C22" s="147">
        <v>0.7083333333333334</v>
      </c>
      <c r="D22" s="5">
        <f aca="true" t="shared" si="5" ref="D22:H23">IF(ISERROR(N49),"",N49)</f>
      </c>
      <c r="E22" s="5">
        <f t="shared" si="5"/>
      </c>
      <c r="F22" s="5">
        <f t="shared" si="5"/>
      </c>
      <c r="G22" s="5">
        <f t="shared" si="5"/>
      </c>
      <c r="H22" s="14">
        <f t="shared" si="5"/>
      </c>
      <c r="K22" s="46"/>
      <c r="L22" s="46"/>
    </row>
    <row r="23" spans="3:8" ht="18.75" thickBot="1">
      <c r="C23" s="151"/>
      <c r="D23" s="13">
        <f t="shared" si="5"/>
      </c>
      <c r="E23" s="13">
        <f t="shared" si="5"/>
      </c>
      <c r="F23" s="13">
        <f t="shared" si="5"/>
      </c>
      <c r="G23" s="13">
        <f t="shared" si="5"/>
      </c>
      <c r="H23" s="17">
        <f t="shared" si="5"/>
      </c>
    </row>
    <row r="24" spans="3:8" ht="18.75" thickTop="1">
      <c r="C24" s="45"/>
      <c r="D24" s="26"/>
      <c r="E24" s="26"/>
      <c r="F24" s="26"/>
      <c r="G24" s="26"/>
      <c r="H24" s="26"/>
    </row>
    <row r="25" spans="3:12" ht="18">
      <c r="C25" s="45"/>
      <c r="D25" s="26"/>
      <c r="E25" s="26"/>
      <c r="F25" s="26"/>
      <c r="G25" s="26"/>
      <c r="H25" s="26"/>
      <c r="L25" s="46"/>
    </row>
    <row r="27" spans="11:12" ht="12.75">
      <c r="K27" s="46"/>
      <c r="L27" s="46"/>
    </row>
    <row r="28" spans="11:12" ht="12.75">
      <c r="K28" s="46"/>
      <c r="L28" s="46"/>
    </row>
    <row r="29" spans="11:12" ht="12.75">
      <c r="K29" s="46"/>
      <c r="L29" s="46"/>
    </row>
    <row r="32" spans="14:18" ht="12.75">
      <c r="N32" t="s">
        <v>6</v>
      </c>
      <c r="O32" t="s">
        <v>7</v>
      </c>
      <c r="P32" t="s">
        <v>8</v>
      </c>
      <c r="Q32" t="s">
        <v>9</v>
      </c>
      <c r="R32" t="s">
        <v>10</v>
      </c>
    </row>
    <row r="33" spans="13:18" ht="12.75">
      <c r="M33" s="139">
        <v>0.375</v>
      </c>
      <c r="N33" t="e">
        <f>DGET(_mon1,"code",criteria3)</f>
        <v>#VALUE!</v>
      </c>
      <c r="O33" t="e">
        <f>DGET(_tue1,"code",criteria3)</f>
        <v>#VALUE!</v>
      </c>
      <c r="P33" t="e">
        <f>DGET(_wed1,"code",criteria3)</f>
        <v>#VALUE!</v>
      </c>
      <c r="Q33" t="e">
        <f>DGET(_thu1,"code",criteria3)</f>
        <v>#VALUE!</v>
      </c>
      <c r="R33" t="e">
        <f>DGET(_fri1,"code",criteria3)</f>
        <v>#VALUE!</v>
      </c>
    </row>
    <row r="34" spans="13:18" ht="12.75">
      <c r="M34" s="140"/>
      <c r="N34" t="e">
        <f>DGET(_mon1,"room",criteria3)</f>
        <v>#VALUE!</v>
      </c>
      <c r="O34" t="e">
        <f>DGET(_tue1,"room",criteria3)</f>
        <v>#VALUE!</v>
      </c>
      <c r="P34" t="e">
        <f>DGET(_wed1,"room",criteria3)</f>
        <v>#VALUE!</v>
      </c>
      <c r="Q34" t="e">
        <f>DGET(_thu1,"room",criteria3)</f>
        <v>#VALUE!</v>
      </c>
      <c r="R34" t="e">
        <f>DGET(_fri1,"room",criteria3)</f>
        <v>#VALUE!</v>
      </c>
    </row>
    <row r="35" spans="13:18" ht="12.75">
      <c r="M35" s="139">
        <v>0.4166666666666667</v>
      </c>
      <c r="N35" t="e">
        <f>DGET(_mon2,"code",criteria3)</f>
        <v>#REF!</v>
      </c>
      <c r="O35" t="e">
        <f>DGET(_tue2,"code",criteria3)</f>
        <v>#REF!</v>
      </c>
      <c r="P35" t="e">
        <f>DGET(_wed2,"code",criteria3)</f>
        <v>#REF!</v>
      </c>
      <c r="Q35" t="e">
        <f>DGET(_thu2,"code",criteria3)</f>
        <v>#REF!</v>
      </c>
      <c r="R35" t="e">
        <f>DGET(_fri2,"code",criteria3)</f>
        <v>#REF!</v>
      </c>
    </row>
    <row r="36" spans="13:18" ht="12.75">
      <c r="M36" s="140"/>
      <c r="N36" t="e">
        <f>DGET(_mon2,"room",criteria3)</f>
        <v>#REF!</v>
      </c>
      <c r="O36" t="e">
        <f>DGET(_tue2,"room",criteria3)</f>
        <v>#REF!</v>
      </c>
      <c r="P36" t="e">
        <f>DGET(_wed2,"room",criteria3)</f>
        <v>#REF!</v>
      </c>
      <c r="Q36" t="e">
        <f>DGET(_thu2,"room",criteria3)</f>
        <v>#REF!</v>
      </c>
      <c r="R36" t="e">
        <f>DGET(_fri2,"room",criteria3)</f>
        <v>#REF!</v>
      </c>
    </row>
    <row r="37" spans="13:18" ht="12.75">
      <c r="M37" s="139">
        <v>0.4583333333333333</v>
      </c>
      <c r="N37" t="e">
        <f>DGET(_mon3,"code",criteria3)</f>
        <v>#VALUE!</v>
      </c>
      <c r="O37" t="e">
        <f>DGET(_tue3,"code",criteria3)</f>
        <v>#VALUE!</v>
      </c>
      <c r="P37" t="e">
        <f>DGET(_wed3,"code",criteria3)</f>
        <v>#VALUE!</v>
      </c>
      <c r="Q37" t="e">
        <f>DGET(_thu3,"code",criteria3)</f>
        <v>#VALUE!</v>
      </c>
      <c r="R37" t="e">
        <f>DGET(_fri3,"code",criteria3)</f>
        <v>#VALUE!</v>
      </c>
    </row>
    <row r="38" spans="13:18" ht="12.75">
      <c r="M38" s="140"/>
      <c r="N38" t="e">
        <f>DGET(_mon3,"room",criteria3)</f>
        <v>#VALUE!</v>
      </c>
      <c r="O38" t="e">
        <f>DGET(_tue3,"room",criteria3)</f>
        <v>#VALUE!</v>
      </c>
      <c r="P38" t="e">
        <f>DGET(_wed3,"room",criteria3)</f>
        <v>#VALUE!</v>
      </c>
      <c r="Q38" t="e">
        <f>DGET(_thu3,"room",criteria3)</f>
        <v>#VALUE!</v>
      </c>
      <c r="R38" t="e">
        <f>DGET(_fri3,"room",criteria3)</f>
        <v>#VALUE!</v>
      </c>
    </row>
    <row r="39" spans="13:18" ht="12.75">
      <c r="M39" s="139">
        <v>0.5</v>
      </c>
      <c r="N39" t="e">
        <f>DGET(_mon4,"code",criteria3)</f>
        <v>#VALUE!</v>
      </c>
      <c r="O39" t="str">
        <f>DGET(_tue4,"code",criteria3)</f>
        <v>PRE307.2/DPY303.2/YMB301.2</v>
      </c>
      <c r="P39" t="e">
        <f>DGET(_wed4,"code",criteria3)</f>
        <v>#VALUE!</v>
      </c>
      <c r="Q39" t="e">
        <f>DGET(_thu4,"code",criteria3)</f>
        <v>#VALUE!</v>
      </c>
      <c r="R39" t="e">
        <f>DGET(_fri4,"code",criteria3)</f>
        <v>#VALUE!</v>
      </c>
    </row>
    <row r="40" spans="13:18" ht="12.75">
      <c r="M40" s="140"/>
      <c r="N40" t="e">
        <f>DGET(_mon4,"room",criteria3)</f>
        <v>#VALUE!</v>
      </c>
      <c r="O40" t="str">
        <f>DGET(_tue4,"room",criteria3)</f>
        <v>TP 205</v>
      </c>
      <c r="P40" t="e">
        <f>DGET(_wed4,"room",criteria3)</f>
        <v>#VALUE!</v>
      </c>
      <c r="Q40" t="e">
        <f>DGET(_thu4,"room",criteria3)</f>
        <v>#VALUE!</v>
      </c>
      <c r="R40" t="e">
        <f>DGET(_fri4,"room",criteria3)</f>
        <v>#VALUE!</v>
      </c>
    </row>
    <row r="41" spans="13:18" ht="12.75">
      <c r="M41" s="139">
        <v>0.5416666666666666</v>
      </c>
      <c r="N41" t="e">
        <f>DGET(_mon5,"code",criteria3)</f>
        <v>#REF!</v>
      </c>
      <c r="O41" t="e">
        <f>DGET(_tue5,"code",criteria3)</f>
        <v>#REF!</v>
      </c>
      <c r="P41" t="e">
        <f>DGET(_wed5,"code",criteria3)</f>
        <v>#REF!</v>
      </c>
      <c r="Q41" t="e">
        <f>DGET(_thu5,"code",criteria3)</f>
        <v>#REF!</v>
      </c>
      <c r="R41" t="e">
        <f>DGET(_fri5,"code",criteria3)</f>
        <v>#REF!</v>
      </c>
    </row>
    <row r="42" spans="13:18" ht="12.75">
      <c r="M42" s="139"/>
      <c r="N42" t="e">
        <f>DGET(_mon5,"room",criteria3)</f>
        <v>#REF!</v>
      </c>
      <c r="O42" t="e">
        <f>DGET(_tue5,"room",criteria3)</f>
        <v>#REF!</v>
      </c>
      <c r="P42" t="e">
        <f>DGET(_wed5,"room",criteria3)</f>
        <v>#REF!</v>
      </c>
      <c r="Q42" t="e">
        <f>DGET(_thu5,"room",criteria3)</f>
        <v>#REF!</v>
      </c>
      <c r="R42" t="e">
        <f>DGET(_fri5,"room",criteria3)</f>
        <v>#REF!</v>
      </c>
    </row>
    <row r="43" spans="13:18" ht="12.75">
      <c r="M43" s="139">
        <v>0.5833333333333334</v>
      </c>
      <c r="N43" t="e">
        <f>DGET(_mon6,"code",criteria3)</f>
        <v>#REF!</v>
      </c>
      <c r="O43" t="e">
        <f>DGET(_tue6,"code",criteria3)</f>
        <v>#REF!</v>
      </c>
      <c r="P43" t="e">
        <f>DGET(_wed6,"code",criteria3)</f>
        <v>#REF!</v>
      </c>
      <c r="Q43" t="e">
        <f>DGET(_thu6,"code",criteria3)</f>
        <v>#REF!</v>
      </c>
      <c r="R43" t="e">
        <f>DGET(_fri6,"code",criteria3)</f>
        <v>#REF!</v>
      </c>
    </row>
    <row r="44" spans="13:18" ht="12.75">
      <c r="M44" s="140"/>
      <c r="N44" t="e">
        <f>DGET(_mon6,"room",criteria3)</f>
        <v>#REF!</v>
      </c>
      <c r="O44" t="e">
        <f>DGET(_tue6,"room",criteria3)</f>
        <v>#REF!</v>
      </c>
      <c r="P44" t="e">
        <f>DGET(_wed6,"room",criteria3)</f>
        <v>#REF!</v>
      </c>
      <c r="Q44" t="e">
        <f>DGET(_thu6,"room",criteria3)</f>
        <v>#REF!</v>
      </c>
      <c r="R44" t="e">
        <f>DGET(_fri6,"room",criteria3)</f>
        <v>#REF!</v>
      </c>
    </row>
    <row r="45" spans="13:18" ht="12.75">
      <c r="M45" s="139">
        <v>0.625</v>
      </c>
      <c r="N45" t="e">
        <f>DGET(_mon7,"code",criteria3)</f>
        <v>#VALUE!</v>
      </c>
      <c r="O45" t="e">
        <f>DGET(_tue7,"code",criteria3)</f>
        <v>#VALUE!</v>
      </c>
      <c r="P45" t="e">
        <f>DGET(_wed7,"code",criteria3)</f>
        <v>#VALUE!</v>
      </c>
      <c r="Q45" t="e">
        <f>DGET(_thu7,"code",criteria3)</f>
        <v>#VALUE!</v>
      </c>
      <c r="R45" t="e">
        <f>DGET(_fri7,"code",criteria3)</f>
        <v>#VALUE!</v>
      </c>
    </row>
    <row r="46" spans="13:18" ht="12.75">
      <c r="M46" s="140"/>
      <c r="N46" t="e">
        <f>DGET(_mon7,"room",criteria3)</f>
        <v>#VALUE!</v>
      </c>
      <c r="O46" t="e">
        <f>DGET(_tue7,"room",criteria3)</f>
        <v>#VALUE!</v>
      </c>
      <c r="P46" t="e">
        <f>DGET(_wed7,"room",criteria3)</f>
        <v>#VALUE!</v>
      </c>
      <c r="Q46" t="e">
        <f>DGET(_thu7,"room",criteria3)</f>
        <v>#VALUE!</v>
      </c>
      <c r="R46" t="e">
        <f>DGET(_fri7,"room",criteria3)</f>
        <v>#VALUE!</v>
      </c>
    </row>
    <row r="47" spans="13:18" ht="12.75">
      <c r="M47" s="139">
        <v>0.6666666666666666</v>
      </c>
      <c r="N47" t="e">
        <f>DGET(_mon8,"code",criteria3)</f>
        <v>#REF!</v>
      </c>
      <c r="O47" t="e">
        <f>DGET(_tue8,"code",criteria3)</f>
        <v>#REF!</v>
      </c>
      <c r="P47" t="e">
        <f>DGET(_wed8,"code",criteria3)</f>
        <v>#REF!</v>
      </c>
      <c r="Q47" t="e">
        <f>DGET(_thu8,"code",criteria3)</f>
        <v>#REF!</v>
      </c>
      <c r="R47" t="e">
        <f>DGET(_fri8,"code",criteria3)</f>
        <v>#REF!</v>
      </c>
    </row>
    <row r="48" spans="13:18" ht="12.75">
      <c r="M48" s="140"/>
      <c r="N48" t="e">
        <f>DGET(_mon8,"room",criteria3)</f>
        <v>#REF!</v>
      </c>
      <c r="O48" t="e">
        <f>DGET(_tue8,"room",criteria3)</f>
        <v>#REF!</v>
      </c>
      <c r="P48" t="e">
        <f>DGET(_wed8,"room",criteria3)</f>
        <v>#REF!</v>
      </c>
      <c r="Q48" t="e">
        <f>DGET(_thu8,"room",criteria3)</f>
        <v>#REF!</v>
      </c>
      <c r="R48" t="e">
        <f>DGET(_fri8,"room",criteria3)</f>
        <v>#REF!</v>
      </c>
    </row>
    <row r="49" spans="13:18" ht="12.75">
      <c r="M49" s="139">
        <v>0.7083333333333334</v>
      </c>
      <c r="N49" t="e">
        <f>DGET(_mon9,"code",criteria3)</f>
        <v>#REF!</v>
      </c>
      <c r="O49" t="e">
        <f>DGET(_tue9,"code",criteria3)</f>
        <v>#REF!</v>
      </c>
      <c r="P49" t="e">
        <f>DGET(_wed9,"code",criteria3)</f>
        <v>#REF!</v>
      </c>
      <c r="Q49" t="e">
        <f>DGET(_thu9,"code",criteria3)</f>
        <v>#REF!</v>
      </c>
      <c r="R49" t="e">
        <f>DGET(_fri9,"code",criteria3)</f>
        <v>#REF!</v>
      </c>
    </row>
    <row r="50" spans="13:18" ht="12.75">
      <c r="M50" s="140"/>
      <c r="N50" t="e">
        <f>DGET(_mon9,"room",criteria3)</f>
        <v>#REF!</v>
      </c>
      <c r="O50" t="e">
        <f>DGET(_tue9,"room",criteria3)</f>
        <v>#REF!</v>
      </c>
      <c r="P50" t="e">
        <f>DGET(_wed9,"room",criteria3)</f>
        <v>#REF!</v>
      </c>
      <c r="Q50" t="e">
        <f>DGET(_thu9,"room",criteria3)</f>
        <v>#REF!</v>
      </c>
      <c r="R50" t="e">
        <f>DGET(_fri9,"room",criteria3)</f>
        <v>#REF!</v>
      </c>
    </row>
    <row r="51" ht="12.75">
      <c r="M51" s="139"/>
    </row>
    <row r="52" ht="12.75">
      <c r="M52" s="140"/>
    </row>
  </sheetData>
  <sheetProtection/>
  <mergeCells count="20">
    <mergeCell ref="C3:H4"/>
    <mergeCell ref="C6:C7"/>
    <mergeCell ref="C8:C9"/>
    <mergeCell ref="C10:C11"/>
    <mergeCell ref="M49:M50"/>
    <mergeCell ref="M37:M38"/>
    <mergeCell ref="M39:M40"/>
    <mergeCell ref="C12:C13"/>
    <mergeCell ref="C14:C15"/>
    <mergeCell ref="C16:C17"/>
    <mergeCell ref="C18:C19"/>
    <mergeCell ref="C20:C21"/>
    <mergeCell ref="C22:C23"/>
    <mergeCell ref="M33:M34"/>
    <mergeCell ref="M35:M36"/>
    <mergeCell ref="M51:M52"/>
    <mergeCell ref="M41:M42"/>
    <mergeCell ref="M43:M44"/>
    <mergeCell ref="M45:M46"/>
    <mergeCell ref="M47:M4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  <headerFooter alignWithMargins="0">
    <oddHeader>&amp;C&amp;"Arial,Kalın"&amp;14FACULTY OF ENGINEERING &amp;"Arial,Normal"
SUMMER 2015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5:D27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2.00390625" style="32" customWidth="1"/>
    <col min="2" max="2" width="37.00390625" style="32" bestFit="1" customWidth="1"/>
    <col min="3" max="3" width="18.00390625" style="32" customWidth="1"/>
    <col min="4" max="4" width="9.140625" style="40" customWidth="1"/>
    <col min="5" max="16384" width="9.140625" style="32" customWidth="1"/>
  </cols>
  <sheetData>
    <row r="5" spans="1:4" ht="18">
      <c r="A5" s="158"/>
      <c r="B5" s="158"/>
      <c r="C5" s="158"/>
      <c r="D5" s="158"/>
    </row>
    <row r="6" spans="1:4" ht="15">
      <c r="A6" s="35"/>
      <c r="B6" s="34"/>
      <c r="C6" s="31"/>
      <c r="D6" s="31"/>
    </row>
    <row r="7" spans="1:4" ht="15">
      <c r="A7" s="34"/>
      <c r="B7" s="34"/>
      <c r="C7" s="31"/>
      <c r="D7" s="43"/>
    </row>
    <row r="8" spans="1:4" ht="15">
      <c r="A8" s="35"/>
      <c r="B8" s="34"/>
      <c r="C8" s="31"/>
      <c r="D8" s="31"/>
    </row>
    <row r="9" spans="1:4" ht="15">
      <c r="A9" s="34"/>
      <c r="B9" s="34"/>
      <c r="C9" s="31"/>
      <c r="D9" s="43"/>
    </row>
    <row r="10" spans="1:4" ht="15">
      <c r="A10" s="34"/>
      <c r="B10" s="34"/>
      <c r="C10" s="31"/>
      <c r="D10" s="43"/>
    </row>
    <row r="11" spans="1:4" ht="15">
      <c r="A11" s="34"/>
      <c r="B11" s="34"/>
      <c r="C11" s="31"/>
      <c r="D11" s="43"/>
    </row>
    <row r="12" spans="1:4" ht="15">
      <c r="A12" s="37"/>
      <c r="B12" s="37"/>
      <c r="C12" s="38"/>
      <c r="D12" s="33"/>
    </row>
    <row r="13" spans="1:4" ht="18">
      <c r="A13" s="158"/>
      <c r="B13" s="158"/>
      <c r="C13" s="158"/>
      <c r="D13" s="158"/>
    </row>
    <row r="14" spans="1:4" ht="14.25">
      <c r="A14" s="39"/>
      <c r="B14" s="39"/>
      <c r="C14" s="31"/>
      <c r="D14" s="42"/>
    </row>
    <row r="15" spans="1:4" ht="15">
      <c r="A15" s="35"/>
      <c r="B15" s="34"/>
      <c r="C15" s="31"/>
      <c r="D15" s="31"/>
    </row>
    <row r="16" spans="1:4" ht="15">
      <c r="A16" s="35"/>
      <c r="B16" s="34"/>
      <c r="C16" s="31"/>
      <c r="D16" s="42"/>
    </row>
    <row r="17" spans="1:4" ht="15">
      <c r="A17" s="34"/>
      <c r="B17" s="34"/>
      <c r="C17" s="31"/>
      <c r="D17" s="42"/>
    </row>
    <row r="18" spans="1:4" ht="15">
      <c r="A18" s="35"/>
      <c r="B18" s="34"/>
      <c r="C18" s="31"/>
      <c r="D18" s="42"/>
    </row>
    <row r="19" spans="1:4" ht="15">
      <c r="A19" s="35"/>
      <c r="B19" s="41"/>
      <c r="C19" s="31"/>
      <c r="D19" s="31"/>
    </row>
    <row r="20" spans="1:4" ht="15">
      <c r="A20" s="35"/>
      <c r="B20" s="34"/>
      <c r="C20" s="31"/>
      <c r="D20" s="31"/>
    </row>
    <row r="23" spans="1:4" ht="18">
      <c r="A23" s="158"/>
      <c r="B23" s="158"/>
      <c r="C23" s="158"/>
      <c r="D23" s="158"/>
    </row>
    <row r="24" spans="1:4" ht="15">
      <c r="A24" s="36"/>
      <c r="B24" s="44"/>
      <c r="C24" s="31"/>
      <c r="D24" s="43"/>
    </row>
    <row r="25" spans="1:4" ht="15">
      <c r="A25" s="34"/>
      <c r="B25" s="34"/>
      <c r="C25" s="31"/>
      <c r="D25" s="43"/>
    </row>
    <row r="26" spans="1:4" ht="15">
      <c r="A26" s="34"/>
      <c r="B26" s="34"/>
      <c r="C26" s="31"/>
      <c r="D26" s="43"/>
    </row>
    <row r="27" spans="1:4" ht="15">
      <c r="A27" s="34"/>
      <c r="B27" s="34"/>
      <c r="C27" s="31"/>
      <c r="D27" s="43"/>
    </row>
  </sheetData>
  <sheetProtection/>
  <mergeCells count="3">
    <mergeCell ref="A5:D5"/>
    <mergeCell ref="A13:D13"/>
    <mergeCell ref="A23:D23"/>
  </mergeCells>
  <conditionalFormatting sqref="A6:B8 A25:B26 D24:D27 D6:D9 A12:D12">
    <cfRule type="cellIs" priority="1" dxfId="0" operator="equal" stopIfTrue="1">
      <formula>electives!#REF!</formula>
    </cfRule>
  </conditionalFormatting>
  <conditionalFormatting sqref="A14:B19 A27:B27 A24:B24 A9:B10">
    <cfRule type="cellIs" priority="2" dxfId="0" operator="equal" stopIfTrue="1">
      <formula>electives!#REF!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kdimilliler</dc:creator>
  <cp:keywords/>
  <dc:description/>
  <cp:lastModifiedBy>user</cp:lastModifiedBy>
  <cp:lastPrinted>2022-01-18T08:10:53Z</cp:lastPrinted>
  <dcterms:created xsi:type="dcterms:W3CDTF">2005-09-20T05:59:45Z</dcterms:created>
  <dcterms:modified xsi:type="dcterms:W3CDTF">2022-01-20T12:15:09Z</dcterms:modified>
  <cp:category/>
  <cp:version/>
  <cp:contentType/>
  <cp:contentStatus/>
</cp:coreProperties>
</file>