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20" activeTab="0"/>
  </bookViews>
  <sheets>
    <sheet name="General" sheetId="1" r:id="rId1"/>
    <sheet name="Room" sheetId="2" r:id="rId2"/>
    <sheet name="Course" sheetId="3" r:id="rId3"/>
    <sheet name="instructor" sheetId="4" r:id="rId4"/>
    <sheet name="electives" sheetId="5" r:id="rId5"/>
  </sheets>
  <definedNames>
    <definedName name="_fri1">'General'!#REF!</definedName>
    <definedName name="_fri10">'General'!#REF!</definedName>
    <definedName name="_fri11">'General'!#REF!</definedName>
    <definedName name="_fri12">'General'!#REF!</definedName>
    <definedName name="_fri2">'General'!#REF!</definedName>
    <definedName name="_fri3">'General'!#REF!</definedName>
    <definedName name="_fri4">'General'!#REF!</definedName>
    <definedName name="_fri5">'General'!#REF!</definedName>
    <definedName name="_fri6">'General'!#REF!</definedName>
    <definedName name="_fri7">'General'!#REF!</definedName>
    <definedName name="_fri8">'General'!#REF!</definedName>
    <definedName name="_fri9">'General'!#REF!</definedName>
    <definedName name="_mon1">'General'!$D$5:$G$20</definedName>
    <definedName name="_mon10">'General'!#REF!</definedName>
    <definedName name="_mon11">'General'!#REF!</definedName>
    <definedName name="_mon12">'General'!#REF!</definedName>
    <definedName name="_mon2">'General'!#REF!</definedName>
    <definedName name="_mon3">'General'!$C$23:$G$37</definedName>
    <definedName name="_mon4">'General'!$C$41:$G$58</definedName>
    <definedName name="_mon5">'General'!$C$59:$G$76</definedName>
    <definedName name="_mon6">'General'!$C$77:$G$94</definedName>
    <definedName name="_mon7">'General'!$C$95:$G$112</definedName>
    <definedName name="_mon8">'General'!$C$113:$G$114</definedName>
    <definedName name="_mon9">'General'!$B$115:$G$115</definedName>
    <definedName name="_thu1">'General'!$N$5:$P$20</definedName>
    <definedName name="_thu10">'General'!#REF!</definedName>
    <definedName name="_thu11">'General'!#REF!</definedName>
    <definedName name="_thu12">'General'!#REF!</definedName>
    <definedName name="_thu2">'General'!#REF!</definedName>
    <definedName name="_thu3">'General'!$N$23:$P$37</definedName>
    <definedName name="_thu4">'General'!$N$41:$P$58</definedName>
    <definedName name="_thu5">'General'!$N$59:$P$76</definedName>
    <definedName name="_thu6">'General'!$N$77:$P$94</definedName>
    <definedName name="_thu7">'General'!$N$95:$P$112</definedName>
    <definedName name="_thu8">'General'!$N$113:$P$114</definedName>
    <definedName name="_thu9">'General'!$N$115:$P$115</definedName>
    <definedName name="_tue1">'General'!$H$5:$J$20</definedName>
    <definedName name="_tue10">'General'!#REF!</definedName>
    <definedName name="_tue11">'General'!#REF!</definedName>
    <definedName name="_tue12">'General'!#REF!</definedName>
    <definedName name="_tue2">'General'!#REF!</definedName>
    <definedName name="_tue3">'General'!$H$23:$J$37</definedName>
    <definedName name="_tue4">'General'!$H$41:$J$58</definedName>
    <definedName name="_tue5">'General'!$H$59:$J$76</definedName>
    <definedName name="_tue6">'General'!$H$77:$J$94</definedName>
    <definedName name="_tue7">'General'!$H$95:$J$112</definedName>
    <definedName name="_tue8">'General'!$H$113:$J$114</definedName>
    <definedName name="_tue9">'General'!$H$115:$J$115</definedName>
    <definedName name="_wed1">'General'!$K$5:$M$20</definedName>
    <definedName name="_wed10">'General'!#REF!</definedName>
    <definedName name="_wed11">'General'!#REF!</definedName>
    <definedName name="_wed12">'General'!#REF!</definedName>
    <definedName name="_wed2">'General'!#REF!</definedName>
    <definedName name="_wed3">'General'!$K$23:$M$37</definedName>
    <definedName name="_wed4">'General'!$K$41:$M$58</definedName>
    <definedName name="_wed5">'General'!$K$59:$M$76</definedName>
    <definedName name="_wed6">'General'!$K$77:$M$94</definedName>
    <definedName name="_wed7">'General'!$K$95:$M$112</definedName>
    <definedName name="_wed8">'General'!$K$113:$M$114</definedName>
    <definedName name="_wed9">'General'!$K$115:$M$115</definedName>
    <definedName name="Criteria1">'Course'!$A$1:$A$10</definedName>
    <definedName name="criteria2">'Room'!$A$1:$A$2</definedName>
    <definedName name="criteria3">'instructor'!$A$1:$A$2</definedName>
    <definedName name="MONDAY">"table,"</definedName>
    <definedName name="table">'Course'!$K$31:$O$50</definedName>
    <definedName name="_xlnm.Print_Area" localSheetId="2">'Course'!$C$1:$H$20</definedName>
    <definedName name="_xlnm.Print_Area" localSheetId="0">'General'!$A$2:$V$115</definedName>
    <definedName name="_xlnm.Print_Area" localSheetId="3">'instructor'!$C$3:$H$23</definedName>
    <definedName name="_xlnm.Print_Area" localSheetId="1">'Room'!$C$2:$H$28</definedName>
  </definedNames>
  <calcPr fullCalcOnLoad="1"/>
</workbook>
</file>

<file path=xl/sharedStrings.xml><?xml version="1.0" encoding="utf-8"?>
<sst xmlns="http://schemas.openxmlformats.org/spreadsheetml/2006/main" count="1090" uniqueCount="230">
  <si>
    <t>ZA</t>
  </si>
  <si>
    <t>CODE</t>
  </si>
  <si>
    <t>ins</t>
  </si>
  <si>
    <t>MONDAY</t>
  </si>
  <si>
    <t>TUESDAY</t>
  </si>
  <si>
    <t>WEDNESDAY</t>
  </si>
  <si>
    <t>THURSDAY</t>
  </si>
  <si>
    <t>FRIDAY</t>
  </si>
  <si>
    <t>ROOM</t>
  </si>
  <si>
    <t>ED</t>
  </si>
  <si>
    <t>12:00-13:00</t>
  </si>
  <si>
    <t>13:00-14:00</t>
  </si>
  <si>
    <t>09:00-10:00</t>
  </si>
  <si>
    <t>10:00-11:00</t>
  </si>
  <si>
    <t>11:00-12:00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</si>
  <si>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</si>
  <si>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</si>
  <si>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</si>
  <si>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</si>
  <si>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</si>
  <si>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</si>
  <si>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</si>
  <si>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F203</t>
  </si>
  <si>
    <t>F204</t>
  </si>
  <si>
    <t>F306</t>
  </si>
  <si>
    <t>CF201</t>
  </si>
  <si>
    <t>CF202</t>
  </si>
  <si>
    <t>F104</t>
  </si>
  <si>
    <t>F105</t>
  </si>
  <si>
    <t>D-DAY</t>
  </si>
  <si>
    <t>INDP.</t>
  </si>
  <si>
    <t>ELD</t>
  </si>
  <si>
    <t>AS</t>
  </si>
  <si>
    <t>MAS</t>
  </si>
  <si>
    <t>AD</t>
  </si>
  <si>
    <t>NYG</t>
  </si>
  <si>
    <t>RY</t>
  </si>
  <si>
    <t>FT</t>
  </si>
  <si>
    <t>TH</t>
  </si>
  <si>
    <t>NS</t>
  </si>
  <si>
    <t>Dr. Erkan Demir</t>
  </si>
  <si>
    <t>Dr. Elza Demirdağ</t>
  </si>
  <si>
    <t>MK</t>
  </si>
  <si>
    <t>Öğr. Gör. Münnevver Kata</t>
  </si>
  <si>
    <t>Prof. Dr. Umay Türkeş Günay</t>
  </si>
  <si>
    <t>ŞA</t>
  </si>
  <si>
    <t>Yrd. Doç. Dr. Şentaç Arı</t>
  </si>
  <si>
    <t>HÇ</t>
  </si>
  <si>
    <t>Öğr. Gör. Havva Çınar</t>
  </si>
  <si>
    <t>HL</t>
  </si>
  <si>
    <t>OM</t>
  </si>
  <si>
    <t>OP</t>
  </si>
  <si>
    <t xml:space="preserve">MA </t>
  </si>
  <si>
    <t>PAK</t>
  </si>
  <si>
    <t>ŞÖ</t>
  </si>
  <si>
    <t>Yrd. Doç. Dr. Olga Pilli</t>
  </si>
  <si>
    <t>MOK</t>
  </si>
  <si>
    <t>Prof. Dr. Mohanmmad Keshavarz</t>
  </si>
  <si>
    <t>Öğr. Gör. Ferda Tuncer</t>
  </si>
  <si>
    <t>Prof. Dr. Mehmet Arslan</t>
  </si>
  <si>
    <t>Öğr. Gör. Pelin Aykut Khalil</t>
  </si>
  <si>
    <t>Doç. Dr. Nur Yeliz Gülcan</t>
  </si>
  <si>
    <t>Öğr.Gör. Tuba Him</t>
  </si>
  <si>
    <t>Ydr. Doç. Dr. Oxana Manolova</t>
  </si>
  <si>
    <t>Öğr. Gör. Mehmet Ali Ateş</t>
  </si>
  <si>
    <t>Ydr. Doç. Dr. Ahmet Sönmezler</t>
  </si>
  <si>
    <t>Yrd.   Doç. Dr. HUseyin Lort</t>
  </si>
  <si>
    <t>Öğr. Gör. Şenol Özdevrim</t>
  </si>
  <si>
    <t>TE</t>
  </si>
  <si>
    <t>Öğr.Gör. Ezgi Temeller</t>
  </si>
  <si>
    <t>SÖ</t>
  </si>
  <si>
    <t>Dr. Soner Öyken</t>
  </si>
  <si>
    <t>Öğr. Gör. Raif Yücelten</t>
  </si>
  <si>
    <t>Öğr. Gör. Zeki Akcam</t>
  </si>
  <si>
    <t>Öğr. Gör. Aytaç Dilek</t>
  </si>
  <si>
    <t>Prof. Dr. M. NEJAT SEFERCİOGLU</t>
  </si>
  <si>
    <t>UTG</t>
  </si>
  <si>
    <t xml:space="preserve"> </t>
  </si>
  <si>
    <t>SNA108</t>
  </si>
  <si>
    <t>RPD 210</t>
  </si>
  <si>
    <t>A 1.2</t>
  </si>
  <si>
    <t>za</t>
  </si>
  <si>
    <t>17.00-18.00</t>
  </si>
  <si>
    <t xml:space="preserve"> 18.00-19.00</t>
  </si>
  <si>
    <t>09.30-10.30</t>
  </si>
  <si>
    <t>10.45-11.45</t>
  </si>
  <si>
    <t>12.00-13.00</t>
  </si>
  <si>
    <t>13.15-14.15</t>
  </si>
  <si>
    <t>14.30-15.30</t>
  </si>
  <si>
    <t>15.45-16.45</t>
  </si>
  <si>
    <t>A1.2</t>
  </si>
  <si>
    <t>A2.10</t>
  </si>
  <si>
    <t>VICTORY</t>
  </si>
  <si>
    <t>VISION</t>
  </si>
  <si>
    <t>AMFİ 4</t>
  </si>
  <si>
    <t xml:space="preserve"> F201</t>
  </si>
  <si>
    <t xml:space="preserve"> F202</t>
  </si>
  <si>
    <t>BİL 103/ COMP103/ACOMM101 (SINAV SINIFLARI ANA GİRİŞ KAPISINA SINAV ÖNCESİ ASILACAKTIR)</t>
  </si>
  <si>
    <t>TAR 102 SINAVLARI                  (SINAV SINIFLARI ANA GİRİŞ KAPISINA SINAV ÖNCESİ ASILACAKTIR)</t>
  </si>
  <si>
    <t>16.11.2019 Cumartesi</t>
  </si>
  <si>
    <t>18.11.2019 Pazartesi</t>
  </si>
  <si>
    <t>19.11.2019 Salı</t>
  </si>
  <si>
    <t>20.11.2019 Çarşamba</t>
  </si>
  <si>
    <t>21.11.2019 Perşembe</t>
  </si>
  <si>
    <t>22.11.2019 Cuma</t>
  </si>
  <si>
    <t>23.11.2019 Cumartesi</t>
  </si>
  <si>
    <t>EGT421/SNM403/EDU415 Sİ</t>
  </si>
  <si>
    <t>OKÖM103/ NÇ</t>
  </si>
  <si>
    <t>OKO301 DS</t>
  </si>
  <si>
    <t>EGT427/EGT418/EGT414/SNM406/EDU412/RPDM301 OMY</t>
  </si>
  <si>
    <t>EGT309/OKOM304 OMY</t>
  </si>
  <si>
    <t>EGT311 NA</t>
  </si>
  <si>
    <t>OKOA107 EG</t>
  </si>
  <si>
    <t>EGT405 Sİ</t>
  </si>
  <si>
    <t>OKO411/OKOM302 NA</t>
  </si>
  <si>
    <t>OKOA105 MAAA</t>
  </si>
  <si>
    <t>OKOA209 Sİ</t>
  </si>
  <si>
    <t>OKOA207/OKO206 Sİ</t>
  </si>
  <si>
    <t>OKOM203/BIL310 OMY</t>
  </si>
  <si>
    <t>OKO415/OKOA405 MAA</t>
  </si>
  <si>
    <t>OKOAS219/OKO401 NA</t>
  </si>
  <si>
    <t>IST307/RPDA207/RPD203 HL</t>
  </si>
  <si>
    <t xml:space="preserve">           RPDA101/RPD101 NYG</t>
  </si>
  <si>
    <t>RPDA103 NYG</t>
  </si>
  <si>
    <t xml:space="preserve">         </t>
  </si>
  <si>
    <t>RPDA201/EGT207 NÇ</t>
  </si>
  <si>
    <t>RPDA205 MG</t>
  </si>
  <si>
    <t>RPD301 NÇ</t>
  </si>
  <si>
    <t>RPD401MG</t>
  </si>
  <si>
    <t>RPD403 ŞK</t>
  </si>
  <si>
    <t xml:space="preserve">                        RPD403 ŞK</t>
  </si>
  <si>
    <t>RPD307 ŞK</t>
  </si>
  <si>
    <t>RPDM201/EGT208 CC</t>
  </si>
  <si>
    <t>RPDA203 NYG</t>
  </si>
  <si>
    <t>RPD401/RPDA303 MG</t>
  </si>
  <si>
    <t>RPD403/RPDA407  ŞK</t>
  </si>
  <si>
    <t xml:space="preserve"> GK303/ GKD403            NÇ</t>
  </si>
  <si>
    <t>RPD303 MG</t>
  </si>
  <si>
    <t xml:space="preserve">                       RPD305 ŞK</t>
  </si>
  <si>
    <t>GK211/RPDGS203/OKÖGS228 / GCC303/CITGE163 NYG</t>
  </si>
  <si>
    <t>GK 407.1 NYG</t>
  </si>
  <si>
    <t>GK407.2 NYG</t>
  </si>
  <si>
    <t>ELT307/ NFA</t>
  </si>
  <si>
    <t>İŞLETME FAKÜLTESİ</t>
  </si>
  <si>
    <t>RPD405 PA</t>
  </si>
  <si>
    <t>TAR101/TARİH SERVİS DERSİ               (SINAV SINIFLARI ANA GİRİŞ KAPISINA SINAV ÖNCESİ ASILACAKTIR)</t>
  </si>
  <si>
    <t>TÜRK101 /  TÜRKÇE SERVİS DERSİ       (SINAV SINIFLARI ANA GİRİŞ KAPISINA SINAV ÖNCESİ ASILACAKTIR)</t>
  </si>
  <si>
    <t>ELTV103 CG</t>
  </si>
  <si>
    <t>ELT405 CG</t>
  </si>
  <si>
    <t>ELT201/ELTA201 CG</t>
  </si>
  <si>
    <t>ELTA205 SD</t>
  </si>
  <si>
    <t>ELT305 SD</t>
  </si>
  <si>
    <t>GCC301 SD</t>
  </si>
  <si>
    <t>ELT207 SD</t>
  </si>
  <si>
    <t>ELT303 SD</t>
  </si>
  <si>
    <t>ELTA101 İK</t>
  </si>
  <si>
    <t>ELTA207 İK</t>
  </si>
  <si>
    <t>ELT401 İK</t>
  </si>
  <si>
    <t>ELT203/ELTA203 MHK</t>
  </si>
  <si>
    <t>ELTV205 SOS/MHK</t>
  </si>
  <si>
    <t>ELT309/ELTG103.2/ELT104 MAS</t>
  </si>
  <si>
    <t>RPDMS209/RPD412/  OZEG309   YA</t>
  </si>
  <si>
    <t>TURA105 ELD</t>
  </si>
  <si>
    <t>TURG101 RÇ</t>
  </si>
  <si>
    <t>TUR111/TURY111 MNS</t>
  </si>
  <si>
    <t>TURA209 ELD</t>
  </si>
  <si>
    <t>TURA211 SAK</t>
  </si>
  <si>
    <t>TURA101 SAK</t>
  </si>
  <si>
    <t>TURA201/ TUR305 HÇ</t>
  </si>
  <si>
    <t>TUR303 ŞA</t>
  </si>
  <si>
    <t>TUR301 AN</t>
  </si>
  <si>
    <t>TURMS215 ŞA</t>
  </si>
  <si>
    <t>OZEM201/SNG402/ELTGE201/ SNOM201/EGT110/MUSM201/ OKÖM201/GCC201/ TÜRK EĞİTİM TARİHİ/ CC</t>
  </si>
  <si>
    <t>SNM301/EGT205 OP</t>
  </si>
  <si>
    <t>RPDM103/SNOM103 CC</t>
  </si>
  <si>
    <t>EDU313/EGT314/EGT423/OZEA101/EGT203/EDU417/SNM405/ ÖZEL EĞİTİM/ YA</t>
  </si>
  <si>
    <t>SNOA101 HL</t>
  </si>
  <si>
    <t>SNOA103 MG</t>
  </si>
  <si>
    <t>SNA307 OP</t>
  </si>
  <si>
    <t>SNA301 SS</t>
  </si>
  <si>
    <t>SNA305 SS</t>
  </si>
  <si>
    <t>SNA403 HÇ</t>
  </si>
  <si>
    <t>SNA407 SA</t>
  </si>
  <si>
    <t>SNA405 SS</t>
  </si>
  <si>
    <t>SNA303/SNOA201 MAS</t>
  </si>
  <si>
    <t>HUKUK FAKÜLTESİ</t>
  </si>
  <si>
    <t>F305</t>
  </si>
  <si>
    <t>MÜHENDİSLİK FAKÜLTESİ</t>
  </si>
  <si>
    <t>CIT203 TOOC</t>
  </si>
  <si>
    <t>CIT205 / CITA 205TOOC</t>
  </si>
  <si>
    <t>CITA209/EDU210 TOOC</t>
  </si>
  <si>
    <t>CITA105 TOOC</t>
  </si>
  <si>
    <t>EDU303 TOOC</t>
  </si>
  <si>
    <t>EDU311 OP</t>
  </si>
  <si>
    <t>CIT303 HL</t>
  </si>
  <si>
    <t xml:space="preserve">CIT307 HL </t>
  </si>
  <si>
    <t>RPD313/RPD309/ RPDAS219 MG</t>
  </si>
  <si>
    <t>TURK 102 SINAVLARI         (SINAV SINIFLARI ANA GİRİŞ KAPISINA SINAV ÖNCESİ ASILACAKTIR)</t>
  </si>
  <si>
    <t>TURM103/OZEM104 /MUSM102/EGT108  Eğitim Felsefesi/ SS</t>
  </si>
  <si>
    <t>OKO305/OKOA305/OZEG310 Sİ</t>
  </si>
  <si>
    <t>OKO300/OKOA210/OZEA306/OZEG204 MAA</t>
  </si>
  <si>
    <t>OZEG303 YA</t>
  </si>
  <si>
    <t>OZEA207 YA</t>
  </si>
  <si>
    <t>OZEA205 YA</t>
  </si>
  <si>
    <t>TURA203/EGT303 ŞA</t>
  </si>
  <si>
    <t>MEG201/TURM203/ ÇGE211/ EGT213/MUSM203 ŞA</t>
  </si>
  <si>
    <t>ELT301/TRA305/İK</t>
  </si>
  <si>
    <t>TURA205/TUR203 RÇ</t>
  </si>
  <si>
    <t>SNG401/ İLT308 AN</t>
  </si>
  <si>
    <t>EĞİTİME GİRİŞ DERSİ ÖDEV TESLİM GÜNÜ          PROF.DR. MEHMET ARSLAN</t>
  </si>
  <si>
    <t>OKOMS211/SNOMS213/OKÖ215 CITVE243/ÇGE210 MAA</t>
  </si>
  <si>
    <t>SNOM203/CITAE421 SS</t>
  </si>
  <si>
    <t>EDU309/CITV309 CG</t>
  </si>
  <si>
    <t>OKO411/OKOM302/OZEG403/ CITV301 NA</t>
  </si>
  <si>
    <t>OZEA209/RPD410/CITVE443  KT</t>
  </si>
  <si>
    <t>EGT421/SNM403/EDU415/ EDU406 Sİ</t>
  </si>
  <si>
    <t>TAR101(TÖ/TUDE) SINIF ORTAMI  MK</t>
  </si>
  <si>
    <t>EĞİTİM FAKÜLTESİ  2019-2020 GÜZ DÖNEMİ VİZE TAKVİMİ</t>
  </si>
  <si>
    <t>EFL 101  SINAVI 22.10.2019 CUMA SAAT 18:00'DA YAPILACAKTIR. SINIF LİSTELERİ SINAVDAN ÖNCE FREEDOM BİNA GİRİŞİNE ASILACAKTIR</t>
  </si>
  <si>
    <t>BİL 104/ COMP104/ACOMM102 (SINAV SINIFLARI ANA GİRİŞ KAPISINA SINAV ÖNCESİ ASILACAKTIR)</t>
  </si>
  <si>
    <t xml:space="preserve"> EGL 102 DİĞER FAKÜLTELER </t>
  </si>
  <si>
    <t>EG101 DİĞER FAKÜLTELER</t>
  </si>
  <si>
    <t>TFL101 VE TFL102  SERVİS DERSİ Yabancı öğrenciler için</t>
  </si>
  <si>
    <t>EFL101    EĞİTİM FAKÜLTESİ VE DİĞER TÜM FAKÜLTELER  (SINAV SINIFLARI ANA GİRİŞ KAPISINA SINAV ÖNCESİ ASILACAKTIR)</t>
  </si>
  <si>
    <t>PFS201 HL</t>
  </si>
  <si>
    <t>OKOA205/OKO303/ OZEG307 NA</t>
  </si>
  <si>
    <t>GKD405.1                    BİLİMSEL ARAŞTIRMA/ ÖB</t>
  </si>
  <si>
    <t>ELTG101/TRK001/TÜRKY101/ TÜRK101/TRA209/ELIT113 TÜRKÇE I: YAZILI ANLATIM  AYŞEGÜL NACAK</t>
  </si>
  <si>
    <t>OZEG301 NURCAN KAYA</t>
  </si>
  <si>
    <t>GKD405.2   OZEG411/OZEM203/SNG202/GKD201/GCC202                BİLİMSEL ARAŞTIRMA/ ÖB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</si>
</sst>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B2dd/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.95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2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4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rgb="FF00B050"/>
      <name val="Calibri"/>
      <family val="2"/>
    </font>
    <font>
      <b/>
      <sz val="12"/>
      <color theme="4" tint="-0.24997000396251678"/>
      <name val="Calibri"/>
      <family val="2"/>
    </font>
    <font>
      <b/>
      <sz val="12"/>
      <color rgb="FF00B0F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/>
      <bottom style="thin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 style="double"/>
      <top style="thick"/>
      <bottom style="thick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10" fillId="0" borderId="23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1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14" fontId="29" fillId="33" borderId="10" xfId="0" applyNumberFormat="1" applyFont="1" applyFill="1" applyBorder="1" applyAlignment="1">
      <alignment horizontal="center" vertical="center"/>
    </xf>
    <xf numFmtId="14" fontId="29" fillId="33" borderId="10" xfId="0" applyNumberFormat="1" applyFont="1" applyFill="1" applyBorder="1" applyAlignment="1" quotePrefix="1">
      <alignment horizontal="center" vertical="center"/>
    </xf>
    <xf numFmtId="0" fontId="10" fillId="33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70" fillId="34" borderId="11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vertical="center"/>
    </xf>
    <xf numFmtId="0" fontId="71" fillId="19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36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" fontId="30" fillId="33" borderId="33" xfId="0" applyNumberFormat="1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0" fontId="40" fillId="15" borderId="10" xfId="0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" fontId="30" fillId="33" borderId="3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20" fontId="30" fillId="0" borderId="40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20" fontId="30" fillId="0" borderId="41" xfId="0" applyNumberFormat="1" applyFont="1" applyBorder="1" applyAlignment="1">
      <alignment horizontal="center" vertical="center"/>
    </xf>
    <xf numFmtId="20" fontId="30" fillId="0" borderId="42" xfId="0" applyNumberFormat="1" applyFont="1" applyBorder="1" applyAlignment="1">
      <alignment horizontal="center" vertical="center"/>
    </xf>
    <xf numFmtId="20" fontId="30" fillId="0" borderId="43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0" fontId="3" fillId="0" borderId="12" xfId="0" applyNumberFormat="1" applyFont="1" applyBorder="1" applyAlignment="1">
      <alignment horizontal="center" vertical="top"/>
    </xf>
    <xf numFmtId="20" fontId="4" fillId="0" borderId="41" xfId="0" applyNumberFormat="1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20" fontId="4" fillId="0" borderId="40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tabSelected="1" view="pageBreakPreview" zoomScale="50" zoomScaleNormal="75" zoomScaleSheetLayoutView="50" workbookViewId="0" topLeftCell="C56">
      <selection activeCell="Q67" sqref="Q67"/>
    </sheetView>
  </sheetViews>
  <sheetFormatPr defaultColWidth="9.140625" defaultRowHeight="19.5" customHeight="1"/>
  <cols>
    <col min="1" max="1" width="15.421875" style="51" bestFit="1" customWidth="1"/>
    <col min="2" max="2" width="33.8515625" style="81" customWidth="1"/>
    <col min="3" max="3" width="10.57421875" style="81" customWidth="1"/>
    <col min="4" max="4" width="17.8515625" style="81" customWidth="1"/>
    <col min="5" max="5" width="33.8515625" style="81" customWidth="1"/>
    <col min="6" max="6" width="11.00390625" style="81" customWidth="1"/>
    <col min="7" max="7" width="14.140625" style="81" customWidth="1"/>
    <col min="8" max="8" width="31.7109375" style="81" customWidth="1"/>
    <col min="9" max="9" width="9.7109375" style="81" customWidth="1"/>
    <col min="10" max="10" width="14.00390625" style="81" customWidth="1"/>
    <col min="11" max="11" width="34.57421875" style="81" customWidth="1"/>
    <col min="12" max="12" width="7.7109375" style="81" customWidth="1"/>
    <col min="13" max="13" width="12.8515625" style="81" customWidth="1"/>
    <col min="14" max="14" width="27.421875" style="81" customWidth="1"/>
    <col min="15" max="15" width="8.57421875" style="81" customWidth="1"/>
    <col min="16" max="16" width="13.00390625" style="81" customWidth="1"/>
    <col min="17" max="17" width="28.140625" style="54" customWidth="1"/>
    <col min="18" max="18" width="11.57421875" style="54" customWidth="1"/>
    <col min="19" max="19" width="12.8515625" style="54" customWidth="1"/>
    <col min="20" max="20" width="35.8515625" style="54" customWidth="1"/>
    <col min="21" max="21" width="10.7109375" style="54" customWidth="1"/>
    <col min="22" max="22" width="11.28125" style="54" customWidth="1"/>
    <col min="23" max="16384" width="9.140625" style="51" customWidth="1"/>
  </cols>
  <sheetData>
    <row r="1" ht="19.5" customHeight="1" thickBot="1">
      <c r="A1" s="50"/>
    </row>
    <row r="2" spans="1:22" ht="19.5" customHeight="1" thickTop="1">
      <c r="A2" s="52"/>
      <c r="B2" s="161" t="s">
        <v>217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9.5" customHeight="1">
      <c r="A3" s="53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s="78" customFormat="1" ht="19.5" customHeight="1">
      <c r="A4" s="80"/>
      <c r="B4" s="75" t="s">
        <v>99</v>
      </c>
      <c r="C4" s="75"/>
      <c r="D4" s="75"/>
      <c r="E4" s="75" t="s">
        <v>100</v>
      </c>
      <c r="F4" s="75"/>
      <c r="G4" s="75"/>
      <c r="H4" s="75" t="s">
        <v>101</v>
      </c>
      <c r="I4" s="75"/>
      <c r="J4" s="75"/>
      <c r="K4" s="76" t="s">
        <v>102</v>
      </c>
      <c r="L4" s="75"/>
      <c r="M4" s="75"/>
      <c r="N4" s="76" t="s">
        <v>103</v>
      </c>
      <c r="O4" s="75"/>
      <c r="P4" s="75"/>
      <c r="Q4" s="77" t="s">
        <v>104</v>
      </c>
      <c r="R4" s="75"/>
      <c r="S4" s="75"/>
      <c r="T4" s="76" t="s">
        <v>105</v>
      </c>
      <c r="U4" s="75"/>
      <c r="V4" s="75"/>
    </row>
    <row r="5" spans="1:22" ht="19.5" customHeight="1">
      <c r="A5" s="162" t="s">
        <v>84</v>
      </c>
      <c r="D5" s="84" t="s">
        <v>95</v>
      </c>
      <c r="E5" s="86"/>
      <c r="G5" s="54" t="s">
        <v>95</v>
      </c>
      <c r="H5" s="54"/>
      <c r="I5" s="54"/>
      <c r="J5" s="54" t="s">
        <v>95</v>
      </c>
      <c r="K5" s="54"/>
      <c r="L5" s="54"/>
      <c r="M5" s="54" t="s">
        <v>95</v>
      </c>
      <c r="P5" s="54" t="s">
        <v>95</v>
      </c>
      <c r="S5" s="54" t="s">
        <v>95</v>
      </c>
      <c r="V5" s="54" t="s">
        <v>95</v>
      </c>
    </row>
    <row r="6" spans="1:22" ht="19.5" customHeight="1">
      <c r="A6" s="162"/>
      <c r="D6" s="55" t="s">
        <v>96</v>
      </c>
      <c r="E6" s="85"/>
      <c r="F6" s="54"/>
      <c r="G6" s="55" t="s">
        <v>96</v>
      </c>
      <c r="H6" s="85"/>
      <c r="I6" s="54"/>
      <c r="J6" s="55" t="s">
        <v>96</v>
      </c>
      <c r="L6" s="54"/>
      <c r="M6" s="55" t="s">
        <v>96</v>
      </c>
      <c r="N6" s="109"/>
      <c r="O6" s="54"/>
      <c r="P6" s="55" t="s">
        <v>96</v>
      </c>
      <c r="Q6" s="109"/>
      <c r="S6" s="55" t="s">
        <v>96</v>
      </c>
      <c r="U6" s="55"/>
      <c r="V6" s="55" t="s">
        <v>96</v>
      </c>
    </row>
    <row r="7" spans="1:22" ht="19.5" customHeight="1">
      <c r="A7" s="162"/>
      <c r="D7" s="55" t="s">
        <v>90</v>
      </c>
      <c r="E7" s="85"/>
      <c r="F7" s="83"/>
      <c r="G7" s="55" t="s">
        <v>90</v>
      </c>
      <c r="H7" s="85"/>
      <c r="I7" s="83"/>
      <c r="J7" s="55" t="s">
        <v>90</v>
      </c>
      <c r="K7" s="85"/>
      <c r="L7" s="83"/>
      <c r="M7" s="55" t="s">
        <v>90</v>
      </c>
      <c r="N7" s="85"/>
      <c r="O7" s="83"/>
      <c r="P7" s="55" t="s">
        <v>90</v>
      </c>
      <c r="Q7" s="85"/>
      <c r="R7" s="83"/>
      <c r="S7" s="55" t="s">
        <v>90</v>
      </c>
      <c r="T7" s="85"/>
      <c r="U7" s="55"/>
      <c r="V7" s="55" t="s">
        <v>90</v>
      </c>
    </row>
    <row r="8" spans="1:22" ht="19.5" customHeight="1">
      <c r="A8" s="162"/>
      <c r="D8" s="55" t="s">
        <v>91</v>
      </c>
      <c r="E8" s="85"/>
      <c r="F8" s="83"/>
      <c r="G8" s="55" t="s">
        <v>91</v>
      </c>
      <c r="H8" s="85"/>
      <c r="I8" s="83"/>
      <c r="J8" s="55" t="s">
        <v>91</v>
      </c>
      <c r="K8" s="85"/>
      <c r="L8" s="83"/>
      <c r="M8" s="55" t="s">
        <v>91</v>
      </c>
      <c r="N8" s="85"/>
      <c r="O8" s="83"/>
      <c r="P8" s="55" t="s">
        <v>91</v>
      </c>
      <c r="Q8" s="85"/>
      <c r="R8" s="83"/>
      <c r="S8" s="55" t="s">
        <v>91</v>
      </c>
      <c r="T8" s="85"/>
      <c r="U8" s="55"/>
      <c r="V8" s="55" t="s">
        <v>91</v>
      </c>
    </row>
    <row r="9" spans="1:22" ht="57" customHeight="1">
      <c r="A9" s="162"/>
      <c r="D9" s="84" t="s">
        <v>22</v>
      </c>
      <c r="E9" s="139" t="s">
        <v>162</v>
      </c>
      <c r="F9" s="54"/>
      <c r="G9" s="90" t="s">
        <v>22</v>
      </c>
      <c r="I9" s="54"/>
      <c r="J9" s="90" t="s">
        <v>22</v>
      </c>
      <c r="K9" s="139" t="s">
        <v>163</v>
      </c>
      <c r="L9" s="54"/>
      <c r="M9" s="90" t="s">
        <v>22</v>
      </c>
      <c r="O9" s="54"/>
      <c r="P9" s="90" t="s">
        <v>22</v>
      </c>
      <c r="Q9" s="114" t="s">
        <v>198</v>
      </c>
      <c r="S9" s="90" t="s">
        <v>22</v>
      </c>
      <c r="T9" s="88"/>
      <c r="V9" s="90" t="s">
        <v>22</v>
      </c>
    </row>
    <row r="10" spans="1:22" ht="19.5" customHeight="1">
      <c r="A10" s="162"/>
      <c r="D10" s="84" t="s">
        <v>23</v>
      </c>
      <c r="E10" s="75" t="s">
        <v>150</v>
      </c>
      <c r="F10" s="54"/>
      <c r="G10" s="54" t="s">
        <v>23</v>
      </c>
      <c r="H10" s="140" t="s">
        <v>207</v>
      </c>
      <c r="I10" s="54"/>
      <c r="J10" s="54" t="s">
        <v>23</v>
      </c>
      <c r="K10" s="85"/>
      <c r="L10" s="54"/>
      <c r="M10" s="54" t="s">
        <v>23</v>
      </c>
      <c r="N10" s="150" t="s">
        <v>203</v>
      </c>
      <c r="O10" s="54"/>
      <c r="P10" s="54" t="s">
        <v>23</v>
      </c>
      <c r="Q10" s="85" t="s">
        <v>190</v>
      </c>
      <c r="S10" s="54" t="s">
        <v>23</v>
      </c>
      <c r="T10" s="85"/>
      <c r="V10" s="54" t="s">
        <v>23</v>
      </c>
    </row>
    <row r="11" spans="1:22" ht="19.5" customHeight="1">
      <c r="A11" s="162"/>
      <c r="D11" s="56" t="s">
        <v>24</v>
      </c>
      <c r="E11" s="124" t="s">
        <v>125</v>
      </c>
      <c r="F11" s="54"/>
      <c r="G11" s="56" t="s">
        <v>24</v>
      </c>
      <c r="H11" s="125" t="s">
        <v>133</v>
      </c>
      <c r="I11" s="54"/>
      <c r="J11" s="56" t="s">
        <v>24</v>
      </c>
      <c r="K11" s="86"/>
      <c r="L11" s="54"/>
      <c r="M11" s="56" t="s">
        <v>24</v>
      </c>
      <c r="N11" s="139" t="s">
        <v>164</v>
      </c>
      <c r="O11" s="54"/>
      <c r="P11" s="56" t="s">
        <v>24</v>
      </c>
      <c r="Q11" s="85"/>
      <c r="S11" s="56" t="s">
        <v>24</v>
      </c>
      <c r="T11" s="85"/>
      <c r="U11" s="56"/>
      <c r="V11" s="56" t="s">
        <v>24</v>
      </c>
    </row>
    <row r="12" spans="1:22" ht="19.5" customHeight="1">
      <c r="A12" s="162"/>
      <c r="B12" s="101"/>
      <c r="D12" s="56" t="s">
        <v>25</v>
      </c>
      <c r="F12" s="54"/>
      <c r="G12" s="56" t="s">
        <v>25</v>
      </c>
      <c r="H12" s="75" t="s">
        <v>212</v>
      </c>
      <c r="I12" s="54"/>
      <c r="J12" s="56" t="s">
        <v>25</v>
      </c>
      <c r="K12" s="85"/>
      <c r="L12" s="110"/>
      <c r="M12" s="56" t="s">
        <v>25</v>
      </c>
      <c r="N12" s="155"/>
      <c r="O12" s="54"/>
      <c r="P12" s="56" t="s">
        <v>25</v>
      </c>
      <c r="Q12" s="155"/>
      <c r="S12" s="56" t="s">
        <v>25</v>
      </c>
      <c r="T12" s="85"/>
      <c r="U12" s="56"/>
      <c r="V12" s="56" t="s">
        <v>25</v>
      </c>
    </row>
    <row r="13" spans="1:22" ht="19.5" customHeight="1">
      <c r="A13" s="162"/>
      <c r="B13" s="101"/>
      <c r="D13" s="84" t="s">
        <v>26</v>
      </c>
      <c r="E13" s="150" t="s">
        <v>201</v>
      </c>
      <c r="F13" s="54"/>
      <c r="G13" s="54" t="s">
        <v>26</v>
      </c>
      <c r="H13" s="75" t="s">
        <v>212</v>
      </c>
      <c r="I13" s="54"/>
      <c r="J13" s="54" t="s">
        <v>26</v>
      </c>
      <c r="K13" s="85"/>
      <c r="L13" s="110"/>
      <c r="M13" s="54" t="s">
        <v>26</v>
      </c>
      <c r="N13" s="155"/>
      <c r="O13" s="54"/>
      <c r="P13" s="54" t="s">
        <v>26</v>
      </c>
      <c r="Q13" s="155"/>
      <c r="R13" s="92"/>
      <c r="S13" s="92" t="s">
        <v>26</v>
      </c>
      <c r="T13" s="85"/>
      <c r="V13" s="54" t="s">
        <v>26</v>
      </c>
    </row>
    <row r="14" spans="1:22" ht="19.5" customHeight="1">
      <c r="A14" s="162"/>
      <c r="B14" s="106"/>
      <c r="D14" s="56" t="s">
        <v>27</v>
      </c>
      <c r="E14" s="131" t="s">
        <v>143</v>
      </c>
      <c r="F14" s="54"/>
      <c r="G14" s="56" t="s">
        <v>27</v>
      </c>
      <c r="H14" s="85"/>
      <c r="I14" s="54"/>
      <c r="J14" s="56" t="s">
        <v>27</v>
      </c>
      <c r="K14" s="85"/>
      <c r="L14" s="54"/>
      <c r="M14" s="56" t="s">
        <v>27</v>
      </c>
      <c r="N14" s="155"/>
      <c r="O14" s="54"/>
      <c r="P14" s="56" t="s">
        <v>27</v>
      </c>
      <c r="Q14" s="131" t="s">
        <v>143</v>
      </c>
      <c r="S14" s="56" t="s">
        <v>27</v>
      </c>
      <c r="T14" s="85"/>
      <c r="U14" s="56"/>
      <c r="V14" s="56" t="s">
        <v>27</v>
      </c>
    </row>
    <row r="15" spans="1:22" ht="19.5" customHeight="1">
      <c r="A15" s="162"/>
      <c r="B15" s="86"/>
      <c r="D15" s="84" t="s">
        <v>28</v>
      </c>
      <c r="E15" s="131" t="s">
        <v>143</v>
      </c>
      <c r="F15" s="54"/>
      <c r="G15" s="54" t="s">
        <v>28</v>
      </c>
      <c r="H15" s="85"/>
      <c r="I15" s="54"/>
      <c r="J15" s="54" t="s">
        <v>28</v>
      </c>
      <c r="K15" s="85"/>
      <c r="L15" s="54"/>
      <c r="M15" s="54" t="s">
        <v>28</v>
      </c>
      <c r="N15" s="86"/>
      <c r="O15" s="54"/>
      <c r="P15" s="54" t="s">
        <v>28</v>
      </c>
      <c r="Q15" s="131" t="s">
        <v>143</v>
      </c>
      <c r="S15" s="54" t="s">
        <v>28</v>
      </c>
      <c r="T15" s="85"/>
      <c r="V15" s="54" t="s">
        <v>28</v>
      </c>
    </row>
    <row r="16" spans="1:22" ht="100.5" customHeight="1">
      <c r="A16" s="162"/>
      <c r="B16" s="85"/>
      <c r="D16" s="84" t="s">
        <v>92</v>
      </c>
      <c r="E16" s="129" t="s">
        <v>109</v>
      </c>
      <c r="F16" s="110"/>
      <c r="G16" s="54" t="s">
        <v>92</v>
      </c>
      <c r="H16" s="85"/>
      <c r="I16" s="54"/>
      <c r="J16" s="54" t="s">
        <v>92</v>
      </c>
      <c r="K16" s="114" t="s">
        <v>172</v>
      </c>
      <c r="L16" s="54"/>
      <c r="M16" s="54" t="s">
        <v>92</v>
      </c>
      <c r="N16" s="85"/>
      <c r="O16" s="54"/>
      <c r="P16" s="54" t="s">
        <v>92</v>
      </c>
      <c r="Q16" s="115" t="s">
        <v>111</v>
      </c>
      <c r="R16" s="110"/>
      <c r="S16" s="54" t="s">
        <v>92</v>
      </c>
      <c r="T16" s="85"/>
      <c r="V16" s="54" t="s">
        <v>92</v>
      </c>
    </row>
    <row r="17" spans="1:22" ht="90" customHeight="1">
      <c r="A17" s="162"/>
      <c r="B17" s="111"/>
      <c r="D17" s="84" t="s">
        <v>29</v>
      </c>
      <c r="E17" s="129" t="s">
        <v>109</v>
      </c>
      <c r="F17" s="57"/>
      <c r="G17" s="54" t="s">
        <v>29</v>
      </c>
      <c r="H17" s="85" t="s">
        <v>110</v>
      </c>
      <c r="I17" s="110"/>
      <c r="J17" s="54" t="s">
        <v>29</v>
      </c>
      <c r="K17" s="114" t="s">
        <v>172</v>
      </c>
      <c r="L17" s="54"/>
      <c r="M17" s="54" t="s">
        <v>29</v>
      </c>
      <c r="N17" s="85"/>
      <c r="O17" s="54"/>
      <c r="P17" s="54" t="s">
        <v>29</v>
      </c>
      <c r="Q17" s="134" t="s">
        <v>160</v>
      </c>
      <c r="R17" s="110"/>
      <c r="S17" s="54" t="s">
        <v>29</v>
      </c>
      <c r="T17" s="85"/>
      <c r="V17" s="54" t="s">
        <v>29</v>
      </c>
    </row>
    <row r="18" spans="1:22" ht="79.5" customHeight="1">
      <c r="A18" s="162"/>
      <c r="B18" s="131" t="s">
        <v>185</v>
      </c>
      <c r="D18" s="84" t="s">
        <v>30</v>
      </c>
      <c r="E18" s="131" t="s">
        <v>185</v>
      </c>
      <c r="F18" s="130"/>
      <c r="G18" s="54" t="s">
        <v>30</v>
      </c>
      <c r="H18" s="131" t="s">
        <v>185</v>
      </c>
      <c r="I18" s="110"/>
      <c r="J18" s="54" t="s">
        <v>30</v>
      </c>
      <c r="K18" s="131" t="s">
        <v>185</v>
      </c>
      <c r="L18" s="54"/>
      <c r="M18" s="54" t="s">
        <v>30</v>
      </c>
      <c r="N18" s="131" t="s">
        <v>185</v>
      </c>
      <c r="O18" s="54"/>
      <c r="P18" s="54" t="s">
        <v>30</v>
      </c>
      <c r="Q18" s="131" t="s">
        <v>185</v>
      </c>
      <c r="S18" s="54" t="s">
        <v>30</v>
      </c>
      <c r="T18" s="131" t="s">
        <v>185</v>
      </c>
      <c r="V18" s="54" t="s">
        <v>30</v>
      </c>
    </row>
    <row r="19" spans="1:22" ht="62.25" customHeight="1">
      <c r="A19" s="162"/>
      <c r="B19" s="111"/>
      <c r="D19" s="84" t="s">
        <v>93</v>
      </c>
      <c r="E19" s="129" t="s">
        <v>109</v>
      </c>
      <c r="F19" s="130"/>
      <c r="G19" s="54" t="s">
        <v>93</v>
      </c>
      <c r="H19" s="85" t="s">
        <v>110</v>
      </c>
      <c r="I19" s="110"/>
      <c r="J19" s="54" t="s">
        <v>93</v>
      </c>
      <c r="K19" s="114" t="s">
        <v>172</v>
      </c>
      <c r="L19" s="54"/>
      <c r="M19" s="54" t="s">
        <v>93</v>
      </c>
      <c r="N19" s="112"/>
      <c r="O19" s="54"/>
      <c r="P19" s="54" t="s">
        <v>93</v>
      </c>
      <c r="Q19" s="134" t="s">
        <v>160</v>
      </c>
      <c r="S19" s="54" t="s">
        <v>93</v>
      </c>
      <c r="T19" s="85"/>
      <c r="V19" s="54" t="s">
        <v>93</v>
      </c>
    </row>
    <row r="20" spans="1:22" ht="53.25" customHeight="1">
      <c r="A20" s="162"/>
      <c r="B20" s="131" t="s">
        <v>187</v>
      </c>
      <c r="D20" s="84" t="s">
        <v>94</v>
      </c>
      <c r="E20" s="95" t="s">
        <v>108</v>
      </c>
      <c r="F20" s="54"/>
      <c r="G20" s="54" t="s">
        <v>94</v>
      </c>
      <c r="H20" s="131" t="s">
        <v>187</v>
      </c>
      <c r="I20" s="54"/>
      <c r="J20" s="54" t="s">
        <v>94</v>
      </c>
      <c r="K20" s="131" t="s">
        <v>187</v>
      </c>
      <c r="L20" s="54"/>
      <c r="M20" s="54" t="s">
        <v>94</v>
      </c>
      <c r="N20" s="131" t="s">
        <v>187</v>
      </c>
      <c r="O20" s="54"/>
      <c r="P20" s="54" t="s">
        <v>94</v>
      </c>
      <c r="Q20" s="131" t="s">
        <v>187</v>
      </c>
      <c r="S20" s="54" t="s">
        <v>94</v>
      </c>
      <c r="T20" s="131" t="s">
        <v>187</v>
      </c>
      <c r="V20" s="54" t="s">
        <v>94</v>
      </c>
    </row>
    <row r="21" spans="1:22" ht="53.25" customHeight="1">
      <c r="A21" s="145"/>
      <c r="D21" s="144"/>
      <c r="E21" s="95"/>
      <c r="F21" s="144"/>
      <c r="G21" s="144" t="s">
        <v>186</v>
      </c>
      <c r="H21" s="102"/>
      <c r="I21" s="144"/>
      <c r="J21" s="144" t="s">
        <v>186</v>
      </c>
      <c r="K21" s="102"/>
      <c r="L21" s="144"/>
      <c r="M21" s="144" t="s">
        <v>186</v>
      </c>
      <c r="N21" s="94"/>
      <c r="O21" s="144"/>
      <c r="P21" s="144" t="s">
        <v>186</v>
      </c>
      <c r="Q21" s="116" t="s">
        <v>112</v>
      </c>
      <c r="R21" s="144"/>
      <c r="S21" s="144" t="s">
        <v>186</v>
      </c>
      <c r="T21" s="144"/>
      <c r="U21" s="144"/>
      <c r="V21" s="144"/>
    </row>
    <row r="22" spans="1:22" s="78" customFormat="1" ht="19.5" customHeight="1">
      <c r="A22" s="80"/>
      <c r="B22" s="75" t="s">
        <v>99</v>
      </c>
      <c r="C22" s="75"/>
      <c r="D22" s="75"/>
      <c r="E22" s="75" t="s">
        <v>100</v>
      </c>
      <c r="F22" s="75"/>
      <c r="G22" s="75"/>
      <c r="H22" s="75" t="s">
        <v>101</v>
      </c>
      <c r="I22" s="75"/>
      <c r="J22" s="75"/>
      <c r="K22" s="76" t="s">
        <v>102</v>
      </c>
      <c r="L22" s="75"/>
      <c r="M22" s="75"/>
      <c r="N22" s="76" t="s">
        <v>103</v>
      </c>
      <c r="O22" s="75"/>
      <c r="P22" s="75"/>
      <c r="Q22" s="77" t="s">
        <v>104</v>
      </c>
      <c r="R22" s="75"/>
      <c r="S22" s="75"/>
      <c r="T22" s="76" t="s">
        <v>105</v>
      </c>
      <c r="U22" s="75"/>
      <c r="V22" s="75"/>
    </row>
    <row r="23" spans="1:22" ht="19.5" customHeight="1">
      <c r="A23" s="160" t="s">
        <v>85</v>
      </c>
      <c r="C23" s="84"/>
      <c r="D23" s="90" t="s">
        <v>95</v>
      </c>
      <c r="E23" s="54"/>
      <c r="F23" s="54"/>
      <c r="G23" s="90" t="s">
        <v>95</v>
      </c>
      <c r="H23" s="54"/>
      <c r="I23" s="54"/>
      <c r="J23" s="90" t="s">
        <v>95</v>
      </c>
      <c r="K23" s="54"/>
      <c r="L23" s="54"/>
      <c r="M23" s="90" t="s">
        <v>95</v>
      </c>
      <c r="N23" s="54"/>
      <c r="O23" s="54"/>
      <c r="P23" s="90" t="s">
        <v>95</v>
      </c>
      <c r="S23" s="90" t="s">
        <v>95</v>
      </c>
      <c r="V23" s="90" t="s">
        <v>95</v>
      </c>
    </row>
    <row r="24" spans="1:22" ht="19.5" customHeight="1">
      <c r="A24" s="160"/>
      <c r="C24" s="84"/>
      <c r="D24" s="55" t="s">
        <v>96</v>
      </c>
      <c r="E24" s="54"/>
      <c r="F24" s="54"/>
      <c r="G24" s="55" t="s">
        <v>96</v>
      </c>
      <c r="H24" s="54"/>
      <c r="I24" s="54"/>
      <c r="J24" s="55" t="s">
        <v>96</v>
      </c>
      <c r="L24" s="54"/>
      <c r="M24" s="55" t="s">
        <v>96</v>
      </c>
      <c r="N24" s="109"/>
      <c r="O24" s="54"/>
      <c r="P24" s="55" t="s">
        <v>96</v>
      </c>
      <c r="Q24" s="109"/>
      <c r="S24" s="55" t="s">
        <v>96</v>
      </c>
      <c r="U24" s="55"/>
      <c r="V24" s="55" t="s">
        <v>96</v>
      </c>
    </row>
    <row r="25" spans="1:22" ht="19.5" customHeight="1">
      <c r="A25" s="160"/>
      <c r="C25" s="84"/>
      <c r="D25" s="55" t="s">
        <v>90</v>
      </c>
      <c r="E25" s="54"/>
      <c r="F25" s="54"/>
      <c r="G25" s="55" t="s">
        <v>90</v>
      </c>
      <c r="H25" s="87"/>
      <c r="I25" s="54"/>
      <c r="J25" s="55" t="s">
        <v>90</v>
      </c>
      <c r="L25" s="54"/>
      <c r="M25" s="55" t="s">
        <v>90</v>
      </c>
      <c r="N25" s="85"/>
      <c r="O25" s="54"/>
      <c r="P25" s="55" t="s">
        <v>90</v>
      </c>
      <c r="S25" s="55" t="s">
        <v>90</v>
      </c>
      <c r="V25" s="55" t="s">
        <v>90</v>
      </c>
    </row>
    <row r="26" spans="1:22" ht="19.5" customHeight="1">
      <c r="A26" s="160"/>
      <c r="B26" s="86"/>
      <c r="C26" s="85"/>
      <c r="D26" s="55" t="s">
        <v>91</v>
      </c>
      <c r="E26" s="83"/>
      <c r="F26" s="54"/>
      <c r="G26" s="55" t="s">
        <v>91</v>
      </c>
      <c r="H26" s="85"/>
      <c r="I26" s="54"/>
      <c r="J26" s="55" t="s">
        <v>91</v>
      </c>
      <c r="L26" s="54"/>
      <c r="M26" s="55" t="s">
        <v>91</v>
      </c>
      <c r="N26" s="85"/>
      <c r="O26" s="54"/>
      <c r="P26" s="55" t="s">
        <v>91</v>
      </c>
      <c r="S26" s="55" t="s">
        <v>91</v>
      </c>
      <c r="V26" s="55" t="s">
        <v>91</v>
      </c>
    </row>
    <row r="27" spans="1:22" ht="38.25" customHeight="1">
      <c r="A27" s="160"/>
      <c r="B27" s="86"/>
      <c r="C27" s="85"/>
      <c r="D27" s="90" t="s">
        <v>22</v>
      </c>
      <c r="E27" s="139" t="s">
        <v>170</v>
      </c>
      <c r="F27" s="54"/>
      <c r="G27" s="90" t="s">
        <v>22</v>
      </c>
      <c r="H27" s="139" t="s">
        <v>169</v>
      </c>
      <c r="I27" s="54"/>
      <c r="J27" s="90" t="s">
        <v>22</v>
      </c>
      <c r="L27" s="54"/>
      <c r="M27" s="90" t="s">
        <v>22</v>
      </c>
      <c r="O27" s="54"/>
      <c r="P27" s="90" t="s">
        <v>22</v>
      </c>
      <c r="S27" s="90" t="s">
        <v>22</v>
      </c>
      <c r="V27" s="90" t="s">
        <v>22</v>
      </c>
    </row>
    <row r="28" spans="1:22" ht="19.5" customHeight="1">
      <c r="A28" s="160"/>
      <c r="B28" s="111"/>
      <c r="C28" s="85"/>
      <c r="D28" s="90" t="s">
        <v>23</v>
      </c>
      <c r="E28" s="150" t="s">
        <v>202</v>
      </c>
      <c r="F28" s="54"/>
      <c r="G28" s="90" t="s">
        <v>23</v>
      </c>
      <c r="H28" s="104"/>
      <c r="I28" s="54"/>
      <c r="J28" s="90" t="s">
        <v>23</v>
      </c>
      <c r="K28" s="150" t="s">
        <v>228</v>
      </c>
      <c r="L28" s="54"/>
      <c r="M28" s="90" t="s">
        <v>23</v>
      </c>
      <c r="N28" s="85"/>
      <c r="O28" s="54"/>
      <c r="P28" s="90" t="s">
        <v>23</v>
      </c>
      <c r="Q28" s="155"/>
      <c r="S28" s="90" t="s">
        <v>23</v>
      </c>
      <c r="T28" s="157"/>
      <c r="U28" s="56"/>
      <c r="V28" s="90" t="s">
        <v>23</v>
      </c>
    </row>
    <row r="29" spans="1:22" ht="19.5" customHeight="1">
      <c r="A29" s="160"/>
      <c r="B29" s="86"/>
      <c r="C29" s="85"/>
      <c r="D29" s="56" t="s">
        <v>24</v>
      </c>
      <c r="E29" s="146" t="s">
        <v>211</v>
      </c>
      <c r="F29" s="54"/>
      <c r="G29" s="56" t="s">
        <v>24</v>
      </c>
      <c r="I29" s="54"/>
      <c r="J29" s="56" t="s">
        <v>24</v>
      </c>
      <c r="L29" s="54"/>
      <c r="M29" s="56" t="s">
        <v>24</v>
      </c>
      <c r="N29" s="146" t="s">
        <v>179</v>
      </c>
      <c r="O29" s="54"/>
      <c r="P29" s="56" t="s">
        <v>24</v>
      </c>
      <c r="Q29" s="124" t="s">
        <v>126</v>
      </c>
      <c r="S29" s="56" t="s">
        <v>24</v>
      </c>
      <c r="U29" s="56"/>
      <c r="V29" s="56" t="s">
        <v>24</v>
      </c>
    </row>
    <row r="30" spans="1:22" ht="19.5" customHeight="1">
      <c r="A30" s="160"/>
      <c r="B30" s="86"/>
      <c r="C30" s="85"/>
      <c r="D30" s="56" t="s">
        <v>25</v>
      </c>
      <c r="E30" s="75" t="s">
        <v>147</v>
      </c>
      <c r="F30" s="54"/>
      <c r="G30" s="56" t="s">
        <v>25</v>
      </c>
      <c r="H30" s="75" t="s">
        <v>149</v>
      </c>
      <c r="I30" s="54"/>
      <c r="J30" s="56" t="s">
        <v>25</v>
      </c>
      <c r="K30" s="101"/>
      <c r="L30" s="54"/>
      <c r="M30" s="56" t="s">
        <v>25</v>
      </c>
      <c r="N30" s="85"/>
      <c r="O30" s="54"/>
      <c r="P30" s="56" t="s">
        <v>25</v>
      </c>
      <c r="Q30" s="119" t="s">
        <v>113</v>
      </c>
      <c r="S30" s="56" t="s">
        <v>25</v>
      </c>
      <c r="V30" s="56" t="s">
        <v>25</v>
      </c>
    </row>
    <row r="31" spans="1:22" ht="30.75" customHeight="1">
      <c r="A31" s="160"/>
      <c r="B31" s="104"/>
      <c r="C31" s="104"/>
      <c r="D31" s="90" t="s">
        <v>26</v>
      </c>
      <c r="E31" s="75" t="s">
        <v>147</v>
      </c>
      <c r="F31" s="54"/>
      <c r="G31" s="90" t="s">
        <v>26</v>
      </c>
      <c r="H31" s="75" t="s">
        <v>149</v>
      </c>
      <c r="I31" s="54"/>
      <c r="J31" s="90" t="s">
        <v>26</v>
      </c>
      <c r="L31" s="54"/>
      <c r="M31" s="90" t="s">
        <v>26</v>
      </c>
      <c r="N31" s="85"/>
      <c r="O31" s="54"/>
      <c r="P31" s="90" t="s">
        <v>26</v>
      </c>
      <c r="Q31" s="57" t="s">
        <v>113</v>
      </c>
      <c r="S31" s="90" t="s">
        <v>26</v>
      </c>
      <c r="U31" s="56"/>
      <c r="V31" s="90" t="s">
        <v>26</v>
      </c>
    </row>
    <row r="32" spans="1:22" ht="19.5" customHeight="1">
      <c r="A32" s="160"/>
      <c r="B32" s="86"/>
      <c r="C32" s="85"/>
      <c r="D32" s="56" t="s">
        <v>27</v>
      </c>
      <c r="E32" s="131" t="s">
        <v>143</v>
      </c>
      <c r="F32" s="54"/>
      <c r="G32" s="56" t="s">
        <v>27</v>
      </c>
      <c r="H32" s="146" t="s">
        <v>178</v>
      </c>
      <c r="I32" s="54"/>
      <c r="J32" s="56" t="s">
        <v>27</v>
      </c>
      <c r="K32" s="131" t="s">
        <v>143</v>
      </c>
      <c r="L32" s="54"/>
      <c r="M32" s="56" t="s">
        <v>27</v>
      </c>
      <c r="N32" s="131" t="s">
        <v>143</v>
      </c>
      <c r="O32" s="54"/>
      <c r="P32" s="56" t="s">
        <v>27</v>
      </c>
      <c r="Q32" s="131" t="s">
        <v>143</v>
      </c>
      <c r="S32" s="56" t="s">
        <v>27</v>
      </c>
      <c r="V32" s="56" t="s">
        <v>27</v>
      </c>
    </row>
    <row r="33" spans="1:22" ht="33" customHeight="1">
      <c r="A33" s="160"/>
      <c r="B33" s="86"/>
      <c r="C33" s="85"/>
      <c r="D33" s="90" t="s">
        <v>28</v>
      </c>
      <c r="E33" s="131" t="s">
        <v>143</v>
      </c>
      <c r="F33" s="54"/>
      <c r="G33" s="90" t="s">
        <v>28</v>
      </c>
      <c r="H33" s="85"/>
      <c r="I33" s="54"/>
      <c r="J33" s="90" t="s">
        <v>28</v>
      </c>
      <c r="K33" s="131" t="s">
        <v>143</v>
      </c>
      <c r="L33" s="54"/>
      <c r="M33" s="90" t="s">
        <v>28</v>
      </c>
      <c r="N33" s="131" t="s">
        <v>143</v>
      </c>
      <c r="O33" s="54"/>
      <c r="P33" s="90" t="s">
        <v>28</v>
      </c>
      <c r="Q33" s="131" t="s">
        <v>143</v>
      </c>
      <c r="R33" s="57"/>
      <c r="S33" s="90" t="s">
        <v>28</v>
      </c>
      <c r="T33" s="57"/>
      <c r="V33" s="90" t="s">
        <v>28</v>
      </c>
    </row>
    <row r="34" spans="1:22" ht="119.25" customHeight="1">
      <c r="A34" s="160"/>
      <c r="B34" s="85"/>
      <c r="C34" s="85"/>
      <c r="D34" s="90" t="s">
        <v>92</v>
      </c>
      <c r="E34" s="108" t="s">
        <v>218</v>
      </c>
      <c r="F34" s="54"/>
      <c r="G34" s="90" t="s">
        <v>92</v>
      </c>
      <c r="H34" s="137" t="s">
        <v>227</v>
      </c>
      <c r="I34" s="54"/>
      <c r="J34" s="90" t="s">
        <v>92</v>
      </c>
      <c r="K34" s="146" t="s">
        <v>181</v>
      </c>
      <c r="L34" s="54"/>
      <c r="M34" s="90" t="s">
        <v>92</v>
      </c>
      <c r="N34" s="138" t="s">
        <v>209</v>
      </c>
      <c r="O34" s="54"/>
      <c r="P34" s="90" t="s">
        <v>92</v>
      </c>
      <c r="Q34" s="114" t="s">
        <v>215</v>
      </c>
      <c r="R34" s="57"/>
      <c r="S34" s="90" t="s">
        <v>92</v>
      </c>
      <c r="V34" s="90" t="s">
        <v>92</v>
      </c>
    </row>
    <row r="35" spans="1:22" ht="86.25" customHeight="1">
      <c r="A35" s="160"/>
      <c r="B35" s="99"/>
      <c r="C35" s="85"/>
      <c r="D35" s="90" t="s">
        <v>29</v>
      </c>
      <c r="E35" s="155"/>
      <c r="F35" s="54"/>
      <c r="G35" s="90" t="s">
        <v>29</v>
      </c>
      <c r="H35" s="137" t="s">
        <v>227</v>
      </c>
      <c r="I35" s="54"/>
      <c r="J35" s="90" t="s">
        <v>29</v>
      </c>
      <c r="K35" s="148" t="s">
        <v>173</v>
      </c>
      <c r="L35" s="54"/>
      <c r="M35" s="90" t="s">
        <v>29</v>
      </c>
      <c r="N35" s="121"/>
      <c r="O35" s="54"/>
      <c r="P35" s="90" t="s">
        <v>29</v>
      </c>
      <c r="Q35" s="114" t="s">
        <v>106</v>
      </c>
      <c r="R35" s="57"/>
      <c r="S35" s="90" t="s">
        <v>29</v>
      </c>
      <c r="V35" s="90" t="s">
        <v>29</v>
      </c>
    </row>
    <row r="36" spans="1:22" ht="95.25" customHeight="1">
      <c r="A36" s="160"/>
      <c r="B36" s="131" t="s">
        <v>185</v>
      </c>
      <c r="C36" s="85"/>
      <c r="D36" s="90" t="s">
        <v>30</v>
      </c>
      <c r="E36" s="131" t="s">
        <v>185</v>
      </c>
      <c r="F36" s="54"/>
      <c r="G36" s="90" t="s">
        <v>30</v>
      </c>
      <c r="H36" s="131" t="s">
        <v>185</v>
      </c>
      <c r="I36" s="54"/>
      <c r="J36" s="90" t="s">
        <v>30</v>
      </c>
      <c r="K36" s="131" t="s">
        <v>185</v>
      </c>
      <c r="L36" s="54"/>
      <c r="M36" s="90" t="s">
        <v>30</v>
      </c>
      <c r="N36" s="131" t="s">
        <v>185</v>
      </c>
      <c r="O36" s="54"/>
      <c r="P36" s="90" t="s">
        <v>30</v>
      </c>
      <c r="Q36" s="131" t="s">
        <v>185</v>
      </c>
      <c r="R36" s="57"/>
      <c r="S36" s="90" t="s">
        <v>30</v>
      </c>
      <c r="T36" s="131" t="s">
        <v>185</v>
      </c>
      <c r="V36" s="90" t="s">
        <v>30</v>
      </c>
    </row>
    <row r="37" spans="1:22" ht="79.5" customHeight="1">
      <c r="A37" s="160"/>
      <c r="B37" s="86"/>
      <c r="C37" s="85"/>
      <c r="D37" s="90" t="s">
        <v>93</v>
      </c>
      <c r="E37" s="155"/>
      <c r="F37" s="54"/>
      <c r="G37" s="90" t="s">
        <v>93</v>
      </c>
      <c r="H37" s="137" t="s">
        <v>227</v>
      </c>
      <c r="I37" s="54"/>
      <c r="J37" s="90" t="s">
        <v>93</v>
      </c>
      <c r="K37" s="75" t="s">
        <v>142</v>
      </c>
      <c r="L37" s="54"/>
      <c r="M37" s="90" t="s">
        <v>93</v>
      </c>
      <c r="N37" s="121"/>
      <c r="O37" s="54"/>
      <c r="P37" s="90" t="s">
        <v>93</v>
      </c>
      <c r="Q37" s="114" t="s">
        <v>113</v>
      </c>
      <c r="R37" s="57"/>
      <c r="S37" s="90" t="s">
        <v>93</v>
      </c>
      <c r="V37" s="90" t="s">
        <v>93</v>
      </c>
    </row>
    <row r="38" spans="1:22" ht="68.25" customHeight="1">
      <c r="A38" s="89"/>
      <c r="B38" s="131" t="s">
        <v>187</v>
      </c>
      <c r="C38" s="90"/>
      <c r="D38" s="90" t="s">
        <v>94</v>
      </c>
      <c r="E38" s="131" t="s">
        <v>187</v>
      </c>
      <c r="F38" s="90"/>
      <c r="G38" s="90" t="s">
        <v>94</v>
      </c>
      <c r="H38" s="57"/>
      <c r="I38" s="90"/>
      <c r="J38" s="90" t="s">
        <v>94</v>
      </c>
      <c r="K38" s="131" t="s">
        <v>187</v>
      </c>
      <c r="L38" s="90"/>
      <c r="M38" s="90" t="s">
        <v>94</v>
      </c>
      <c r="N38" s="131" t="s">
        <v>187</v>
      </c>
      <c r="O38" s="90"/>
      <c r="P38" s="90" t="s">
        <v>94</v>
      </c>
      <c r="Q38" s="131" t="s">
        <v>187</v>
      </c>
      <c r="R38" s="57"/>
      <c r="S38" s="90" t="s">
        <v>94</v>
      </c>
      <c r="T38" s="131" t="s">
        <v>187</v>
      </c>
      <c r="U38" s="90"/>
      <c r="V38" s="90" t="s">
        <v>94</v>
      </c>
    </row>
    <row r="39" spans="1:22" ht="52.5" customHeight="1">
      <c r="A39" s="143"/>
      <c r="B39" s="100"/>
      <c r="C39" s="144"/>
      <c r="D39" s="144"/>
      <c r="E39" s="132" t="s">
        <v>151</v>
      </c>
      <c r="F39" s="144"/>
      <c r="G39" s="144" t="s">
        <v>186</v>
      </c>
      <c r="H39" s="102"/>
      <c r="I39" s="144"/>
      <c r="J39" s="144" t="s">
        <v>186</v>
      </c>
      <c r="K39" s="144"/>
      <c r="L39" s="144"/>
      <c r="M39" s="144" t="s">
        <v>186</v>
      </c>
      <c r="N39" s="141" t="s">
        <v>205</v>
      </c>
      <c r="O39" s="144"/>
      <c r="P39" s="144" t="s">
        <v>186</v>
      </c>
      <c r="Q39" s="114" t="s">
        <v>106</v>
      </c>
      <c r="R39" s="57"/>
      <c r="S39" s="144" t="s">
        <v>186</v>
      </c>
      <c r="T39" s="57"/>
      <c r="U39" s="144"/>
      <c r="V39" s="144"/>
    </row>
    <row r="40" spans="1:22" s="78" customFormat="1" ht="19.5" customHeight="1">
      <c r="A40" s="80"/>
      <c r="B40" s="75" t="s">
        <v>99</v>
      </c>
      <c r="C40" s="75"/>
      <c r="D40" s="75"/>
      <c r="E40" s="75" t="s">
        <v>100</v>
      </c>
      <c r="F40" s="75"/>
      <c r="G40" s="75"/>
      <c r="H40" s="75" t="s">
        <v>101</v>
      </c>
      <c r="I40" s="75"/>
      <c r="J40" s="75"/>
      <c r="K40" s="76" t="s">
        <v>102</v>
      </c>
      <c r="L40" s="75"/>
      <c r="M40" s="75"/>
      <c r="N40" s="76" t="s">
        <v>103</v>
      </c>
      <c r="O40" s="75"/>
      <c r="P40" s="75"/>
      <c r="Q40" s="77" t="s">
        <v>104</v>
      </c>
      <c r="R40" s="75"/>
      <c r="S40" s="75"/>
      <c r="T40" s="76" t="s">
        <v>105</v>
      </c>
      <c r="U40" s="75"/>
      <c r="V40" s="75"/>
    </row>
    <row r="41" spans="1:22" ht="19.5" customHeight="1">
      <c r="A41" s="160" t="s">
        <v>86</v>
      </c>
      <c r="C41" s="84"/>
      <c r="D41" s="90" t="s">
        <v>95</v>
      </c>
      <c r="E41" s="54"/>
      <c r="F41" s="54"/>
      <c r="G41" s="90" t="s">
        <v>95</v>
      </c>
      <c r="H41" s="54"/>
      <c r="I41" s="54"/>
      <c r="J41" s="90" t="s">
        <v>95</v>
      </c>
      <c r="K41" s="54"/>
      <c r="L41" s="54"/>
      <c r="M41" s="90" t="s">
        <v>95</v>
      </c>
      <c r="N41" s="54"/>
      <c r="O41" s="54"/>
      <c r="P41" s="90" t="s">
        <v>95</v>
      </c>
      <c r="S41" s="90" t="s">
        <v>95</v>
      </c>
      <c r="V41" s="90" t="s">
        <v>95</v>
      </c>
    </row>
    <row r="42" spans="1:22" ht="19.5" customHeight="1">
      <c r="A42" s="160"/>
      <c r="C42" s="85"/>
      <c r="D42" s="55" t="s">
        <v>96</v>
      </c>
      <c r="E42" s="85"/>
      <c r="F42" s="54"/>
      <c r="G42" s="55" t="s">
        <v>96</v>
      </c>
      <c r="H42" s="54"/>
      <c r="I42" s="54"/>
      <c r="J42" s="55" t="s">
        <v>96</v>
      </c>
      <c r="L42" s="54"/>
      <c r="M42" s="55" t="s">
        <v>96</v>
      </c>
      <c r="N42" s="109"/>
      <c r="O42" s="54"/>
      <c r="P42" s="55" t="s">
        <v>96</v>
      </c>
      <c r="Q42" s="109"/>
      <c r="S42" s="55" t="s">
        <v>96</v>
      </c>
      <c r="U42" s="55"/>
      <c r="V42" s="55" t="s">
        <v>96</v>
      </c>
    </row>
    <row r="43" spans="1:22" ht="36.75" customHeight="1">
      <c r="A43" s="160"/>
      <c r="B43" s="113"/>
      <c r="C43" s="85"/>
      <c r="D43" s="55" t="s">
        <v>90</v>
      </c>
      <c r="E43" s="85"/>
      <c r="F43" s="54"/>
      <c r="G43" s="55" t="s">
        <v>90</v>
      </c>
      <c r="H43" s="54"/>
      <c r="I43" s="54"/>
      <c r="J43" s="55" t="s">
        <v>90</v>
      </c>
      <c r="K43" s="54"/>
      <c r="L43" s="54"/>
      <c r="M43" s="55" t="s">
        <v>90</v>
      </c>
      <c r="N43" s="54"/>
      <c r="O43" s="54"/>
      <c r="P43" s="55" t="s">
        <v>90</v>
      </c>
      <c r="S43" s="55" t="s">
        <v>90</v>
      </c>
      <c r="T43" s="85"/>
      <c r="V43" s="55" t="s">
        <v>90</v>
      </c>
    </row>
    <row r="44" spans="1:22" ht="36.75" customHeight="1">
      <c r="A44" s="160"/>
      <c r="B44" s="86"/>
      <c r="C44" s="85"/>
      <c r="D44" s="55" t="s">
        <v>91</v>
      </c>
      <c r="E44" s="85"/>
      <c r="F44" s="54"/>
      <c r="G44" s="55" t="s">
        <v>91</v>
      </c>
      <c r="H44" s="54"/>
      <c r="I44" s="54"/>
      <c r="J44" s="55" t="s">
        <v>91</v>
      </c>
      <c r="K44" s="54"/>
      <c r="L44" s="54"/>
      <c r="M44" s="55" t="s">
        <v>91</v>
      </c>
      <c r="N44" s="54"/>
      <c r="O44" s="54"/>
      <c r="P44" s="55" t="s">
        <v>91</v>
      </c>
      <c r="S44" s="55" t="s">
        <v>91</v>
      </c>
      <c r="T44" s="85"/>
      <c r="V44" s="55" t="s">
        <v>91</v>
      </c>
    </row>
    <row r="45" spans="1:22" ht="19.5" customHeight="1">
      <c r="A45" s="160"/>
      <c r="B45" s="99"/>
      <c r="C45" s="85"/>
      <c r="D45" s="90" t="s">
        <v>22</v>
      </c>
      <c r="E45" s="139" t="s">
        <v>165</v>
      </c>
      <c r="F45" s="54"/>
      <c r="G45" s="90" t="s">
        <v>22</v>
      </c>
      <c r="I45" s="54"/>
      <c r="J45" s="90" t="s">
        <v>22</v>
      </c>
      <c r="L45" s="54"/>
      <c r="M45" s="90" t="s">
        <v>22</v>
      </c>
      <c r="N45" s="54"/>
      <c r="O45" s="54"/>
      <c r="P45" s="90" t="s">
        <v>22</v>
      </c>
      <c r="S45" s="90" t="s">
        <v>22</v>
      </c>
      <c r="T45" s="85"/>
      <c r="V45" s="90" t="s">
        <v>22</v>
      </c>
    </row>
    <row r="46" spans="1:22" ht="19.5" customHeight="1">
      <c r="A46" s="160"/>
      <c r="B46" s="86"/>
      <c r="C46" s="86"/>
      <c r="D46" s="90" t="s">
        <v>23</v>
      </c>
      <c r="F46" s="54"/>
      <c r="G46" s="90" t="s">
        <v>23</v>
      </c>
      <c r="H46" s="54"/>
      <c r="I46" s="54"/>
      <c r="J46" s="90" t="s">
        <v>23</v>
      </c>
      <c r="K46" s="54"/>
      <c r="L46" s="54"/>
      <c r="M46" s="90" t="s">
        <v>23</v>
      </c>
      <c r="N46" s="79"/>
      <c r="O46" s="54"/>
      <c r="P46" s="90" t="s">
        <v>23</v>
      </c>
      <c r="S46" s="90" t="s">
        <v>23</v>
      </c>
      <c r="T46" s="157"/>
      <c r="U46" s="56"/>
      <c r="V46" s="90" t="s">
        <v>23</v>
      </c>
    </row>
    <row r="47" spans="1:22" ht="19.5" customHeight="1">
      <c r="A47" s="160"/>
      <c r="B47" s="99"/>
      <c r="C47" s="85"/>
      <c r="D47" s="56" t="s">
        <v>24</v>
      </c>
      <c r="E47" s="124" t="s">
        <v>123</v>
      </c>
      <c r="F47" s="54"/>
      <c r="G47" s="56" t="s">
        <v>24</v>
      </c>
      <c r="H47" s="122" t="s">
        <v>122</v>
      </c>
      <c r="J47" s="56" t="s">
        <v>24</v>
      </c>
      <c r="K47" s="81" t="s">
        <v>124</v>
      </c>
      <c r="L47" s="54"/>
      <c r="M47" s="56" t="s">
        <v>24</v>
      </c>
      <c r="N47" s="75" t="s">
        <v>159</v>
      </c>
      <c r="O47" s="54"/>
      <c r="P47" s="56" t="s">
        <v>24</v>
      </c>
      <c r="Q47" s="146" t="s">
        <v>176</v>
      </c>
      <c r="S47" s="56" t="s">
        <v>24</v>
      </c>
      <c r="T47" s="85"/>
      <c r="U47" s="56"/>
      <c r="V47" s="56" t="s">
        <v>24</v>
      </c>
    </row>
    <row r="48" spans="1:22" ht="28.5" customHeight="1">
      <c r="A48" s="160"/>
      <c r="B48" s="113"/>
      <c r="C48" s="85"/>
      <c r="D48" s="56" t="s">
        <v>25</v>
      </c>
      <c r="G48" s="56" t="s">
        <v>25</v>
      </c>
      <c r="H48" s="92" t="s">
        <v>107</v>
      </c>
      <c r="J48" s="56" t="s">
        <v>25</v>
      </c>
      <c r="K48" s="128" t="s">
        <v>174</v>
      </c>
      <c r="L48" s="54"/>
      <c r="M48" s="56" t="s">
        <v>25</v>
      </c>
      <c r="N48" s="75" t="s">
        <v>153</v>
      </c>
      <c r="O48" s="54"/>
      <c r="P48" s="56" t="s">
        <v>25</v>
      </c>
      <c r="Q48" s="142" t="s">
        <v>168</v>
      </c>
      <c r="S48" s="56" t="s">
        <v>25</v>
      </c>
      <c r="T48" s="85"/>
      <c r="V48" s="56" t="s">
        <v>25</v>
      </c>
    </row>
    <row r="49" spans="1:22" ht="19.5" customHeight="1">
      <c r="A49" s="160"/>
      <c r="B49" s="112"/>
      <c r="C49" s="85"/>
      <c r="D49" s="90" t="s">
        <v>26</v>
      </c>
      <c r="G49" s="90" t="s">
        <v>26</v>
      </c>
      <c r="H49" s="92" t="s">
        <v>107</v>
      </c>
      <c r="I49" s="54"/>
      <c r="J49" s="90" t="s">
        <v>26</v>
      </c>
      <c r="K49" s="151"/>
      <c r="L49" s="54"/>
      <c r="M49" s="90" t="s">
        <v>26</v>
      </c>
      <c r="N49" s="126" t="s">
        <v>138</v>
      </c>
      <c r="O49" s="54"/>
      <c r="P49" s="90" t="s">
        <v>26</v>
      </c>
      <c r="Q49" s="127" t="s">
        <v>131</v>
      </c>
      <c r="R49" s="110"/>
      <c r="S49" s="90" t="s">
        <v>26</v>
      </c>
      <c r="T49" s="85"/>
      <c r="U49" s="56"/>
      <c r="V49" s="90" t="s">
        <v>26</v>
      </c>
    </row>
    <row r="50" spans="1:22" ht="19.5" customHeight="1">
      <c r="A50" s="160"/>
      <c r="B50" s="86"/>
      <c r="C50" s="85"/>
      <c r="D50" s="56" t="s">
        <v>27</v>
      </c>
      <c r="E50" s="87"/>
      <c r="F50" s="54"/>
      <c r="G50" s="56" t="s">
        <v>27</v>
      </c>
      <c r="H50" s="54"/>
      <c r="I50" s="54"/>
      <c r="J50" s="56" t="s">
        <v>27</v>
      </c>
      <c r="K50" s="131" t="s">
        <v>143</v>
      </c>
      <c r="L50" s="54"/>
      <c r="M50" s="56" t="s">
        <v>27</v>
      </c>
      <c r="N50" s="131" t="s">
        <v>143</v>
      </c>
      <c r="O50" s="54"/>
      <c r="P50" s="56" t="s">
        <v>27</v>
      </c>
      <c r="Q50" s="131" t="s">
        <v>143</v>
      </c>
      <c r="S50" s="56" t="s">
        <v>27</v>
      </c>
      <c r="T50" s="85"/>
      <c r="V50" s="56" t="s">
        <v>27</v>
      </c>
    </row>
    <row r="51" spans="1:22" ht="19.5" customHeight="1">
      <c r="A51" s="160"/>
      <c r="B51" s="86"/>
      <c r="C51" s="85"/>
      <c r="D51" s="90" t="s">
        <v>28</v>
      </c>
      <c r="E51" s="85"/>
      <c r="F51" s="54"/>
      <c r="G51" s="90" t="s">
        <v>28</v>
      </c>
      <c r="H51" s="54"/>
      <c r="I51" s="54"/>
      <c r="J51" s="90" t="s">
        <v>28</v>
      </c>
      <c r="K51" s="131" t="s">
        <v>143</v>
      </c>
      <c r="L51" s="54"/>
      <c r="M51" s="90" t="s">
        <v>28</v>
      </c>
      <c r="N51" s="131" t="s">
        <v>143</v>
      </c>
      <c r="O51" s="54"/>
      <c r="P51" s="90" t="s">
        <v>28</v>
      </c>
      <c r="Q51" s="131" t="s">
        <v>143</v>
      </c>
      <c r="S51" s="90" t="s">
        <v>28</v>
      </c>
      <c r="T51" s="85"/>
      <c r="V51" s="90" t="s">
        <v>28</v>
      </c>
    </row>
    <row r="52" spans="1:22" ht="55.5" customHeight="1">
      <c r="A52" s="160"/>
      <c r="B52" s="112"/>
      <c r="C52" s="87"/>
      <c r="D52" s="90" t="s">
        <v>92</v>
      </c>
      <c r="E52" s="135" t="s">
        <v>175</v>
      </c>
      <c r="F52" s="54"/>
      <c r="G52" s="90" t="s">
        <v>92</v>
      </c>
      <c r="H52" s="152" t="s">
        <v>213</v>
      </c>
      <c r="I52" s="110"/>
      <c r="J52" s="90" t="s">
        <v>92</v>
      </c>
      <c r="L52" s="54"/>
      <c r="M52" s="90" t="s">
        <v>92</v>
      </c>
      <c r="N52" s="147" t="s">
        <v>208</v>
      </c>
      <c r="O52" s="54"/>
      <c r="P52" s="90" t="s">
        <v>92</v>
      </c>
      <c r="Q52" s="85"/>
      <c r="S52" s="90" t="s">
        <v>92</v>
      </c>
      <c r="T52" s="85"/>
      <c r="V52" s="90" t="s">
        <v>92</v>
      </c>
    </row>
    <row r="53" spans="1:22" ht="49.5" customHeight="1">
      <c r="A53" s="160"/>
      <c r="B53" s="112"/>
      <c r="C53" s="87"/>
      <c r="D53" s="90" t="s">
        <v>29</v>
      </c>
      <c r="E53" s="135" t="s">
        <v>175</v>
      </c>
      <c r="F53" s="54"/>
      <c r="G53" s="90" t="s">
        <v>29</v>
      </c>
      <c r="H53" s="117" t="s">
        <v>114</v>
      </c>
      <c r="I53" s="110"/>
      <c r="J53" s="90" t="s">
        <v>29</v>
      </c>
      <c r="K53" s="75" t="s">
        <v>206</v>
      </c>
      <c r="L53" s="54"/>
      <c r="M53" s="90" t="s">
        <v>29</v>
      </c>
      <c r="N53" s="93"/>
      <c r="O53" s="54"/>
      <c r="P53" s="90" t="s">
        <v>29</v>
      </c>
      <c r="S53" s="90" t="s">
        <v>29</v>
      </c>
      <c r="T53" s="85"/>
      <c r="V53" s="90" t="s">
        <v>29</v>
      </c>
    </row>
    <row r="54" spans="1:24" ht="57" customHeight="1">
      <c r="A54" s="160"/>
      <c r="B54" s="131" t="s">
        <v>185</v>
      </c>
      <c r="C54" s="87"/>
      <c r="D54" s="90" t="s">
        <v>30</v>
      </c>
      <c r="E54" s="131" t="s">
        <v>185</v>
      </c>
      <c r="F54" s="54"/>
      <c r="G54" s="90" t="s">
        <v>30</v>
      </c>
      <c r="H54" s="131" t="s">
        <v>185</v>
      </c>
      <c r="I54" s="110"/>
      <c r="J54" s="90" t="s">
        <v>30</v>
      </c>
      <c r="K54" s="131" t="s">
        <v>185</v>
      </c>
      <c r="L54" s="54"/>
      <c r="M54" s="90" t="s">
        <v>30</v>
      </c>
      <c r="N54" s="131" t="s">
        <v>185</v>
      </c>
      <c r="O54" s="54"/>
      <c r="P54" s="90" t="s">
        <v>30</v>
      </c>
      <c r="Q54" s="131" t="s">
        <v>185</v>
      </c>
      <c r="R54" s="57"/>
      <c r="S54" s="90" t="s">
        <v>30</v>
      </c>
      <c r="T54" s="131" t="s">
        <v>185</v>
      </c>
      <c r="V54" s="90" t="s">
        <v>30</v>
      </c>
      <c r="X54" s="51" t="s">
        <v>77</v>
      </c>
    </row>
    <row r="55" spans="1:22" ht="61.5" customHeight="1">
      <c r="A55" s="160"/>
      <c r="B55" s="113"/>
      <c r="D55" s="90" t="s">
        <v>93</v>
      </c>
      <c r="E55" s="135" t="s">
        <v>175</v>
      </c>
      <c r="F55" s="54"/>
      <c r="G55" s="90" t="s">
        <v>93</v>
      </c>
      <c r="H55" s="146" t="s">
        <v>182</v>
      </c>
      <c r="I55" s="54"/>
      <c r="J55" s="90" t="s">
        <v>93</v>
      </c>
      <c r="K55" s="115" t="s">
        <v>115</v>
      </c>
      <c r="L55" s="110"/>
      <c r="M55" s="90" t="s">
        <v>93</v>
      </c>
      <c r="N55" s="120" t="s">
        <v>199</v>
      </c>
      <c r="O55" s="110"/>
      <c r="P55" s="90" t="s">
        <v>93</v>
      </c>
      <c r="Q55" s="146" t="s">
        <v>183</v>
      </c>
      <c r="S55" s="90" t="s">
        <v>93</v>
      </c>
      <c r="V55" s="90" t="s">
        <v>93</v>
      </c>
    </row>
    <row r="56" spans="1:22" ht="54.75" customHeight="1">
      <c r="A56" s="89"/>
      <c r="B56" s="113"/>
      <c r="D56" s="90" t="s">
        <v>94</v>
      </c>
      <c r="E56" s="156"/>
      <c r="F56" s="90"/>
      <c r="G56" s="90" t="s">
        <v>94</v>
      </c>
      <c r="I56" s="90"/>
      <c r="J56" s="90" t="s">
        <v>94</v>
      </c>
      <c r="K56" s="94"/>
      <c r="L56" s="90"/>
      <c r="M56" s="90" t="s">
        <v>94</v>
      </c>
      <c r="N56" s="102"/>
      <c r="O56" s="90"/>
      <c r="P56" s="90" t="s">
        <v>94</v>
      </c>
      <c r="Q56" s="75" t="s">
        <v>152</v>
      </c>
      <c r="R56" s="90"/>
      <c r="S56" s="90" t="s">
        <v>94</v>
      </c>
      <c r="T56" s="85"/>
      <c r="U56" s="85"/>
      <c r="V56" s="90" t="s">
        <v>94</v>
      </c>
    </row>
    <row r="57" spans="1:22" ht="54.75" customHeight="1">
      <c r="A57" s="143"/>
      <c r="B57" s="113"/>
      <c r="D57" s="144"/>
      <c r="E57" s="135" t="s">
        <v>175</v>
      </c>
      <c r="F57" s="144"/>
      <c r="G57" s="144" t="s">
        <v>186</v>
      </c>
      <c r="I57" s="144"/>
      <c r="J57" s="144" t="s">
        <v>186</v>
      </c>
      <c r="K57" s="139" t="s">
        <v>204</v>
      </c>
      <c r="L57" s="144"/>
      <c r="M57" s="144" t="s">
        <v>186</v>
      </c>
      <c r="N57" s="102"/>
      <c r="O57" s="144"/>
      <c r="P57" s="144" t="s">
        <v>186</v>
      </c>
      <c r="Q57" s="85"/>
      <c r="R57" s="144"/>
      <c r="S57" s="144" t="s">
        <v>186</v>
      </c>
      <c r="T57" s="85"/>
      <c r="U57" s="85"/>
      <c r="V57" s="144"/>
    </row>
    <row r="58" spans="1:22" s="78" customFormat="1" ht="19.5" customHeight="1">
      <c r="A58" s="80"/>
      <c r="B58" s="75" t="s">
        <v>99</v>
      </c>
      <c r="C58" s="75"/>
      <c r="D58" s="75"/>
      <c r="E58" s="75" t="s">
        <v>100</v>
      </c>
      <c r="F58" s="75"/>
      <c r="G58" s="75"/>
      <c r="H58" s="75" t="s">
        <v>101</v>
      </c>
      <c r="I58" s="75"/>
      <c r="J58" s="75"/>
      <c r="K58" s="76" t="s">
        <v>102</v>
      </c>
      <c r="L58" s="75"/>
      <c r="M58" s="75"/>
      <c r="N58" s="76" t="s">
        <v>103</v>
      </c>
      <c r="O58" s="75"/>
      <c r="P58" s="75"/>
      <c r="Q58" s="77" t="s">
        <v>104</v>
      </c>
      <c r="R58" s="75"/>
      <c r="S58" s="75"/>
      <c r="T58" s="76" t="s">
        <v>105</v>
      </c>
      <c r="U58" s="75"/>
      <c r="V58" s="75"/>
    </row>
    <row r="59" spans="1:22" ht="19.5" customHeight="1">
      <c r="A59" s="160" t="s">
        <v>87</v>
      </c>
      <c r="C59" s="84"/>
      <c r="D59" s="90" t="s">
        <v>95</v>
      </c>
      <c r="E59" s="54"/>
      <c r="F59" s="54"/>
      <c r="G59" s="90" t="s">
        <v>95</v>
      </c>
      <c r="H59" s="54"/>
      <c r="I59" s="54"/>
      <c r="J59" s="90" t="s">
        <v>95</v>
      </c>
      <c r="K59" s="54"/>
      <c r="L59" s="54"/>
      <c r="M59" s="90" t="s">
        <v>95</v>
      </c>
      <c r="N59" s="54"/>
      <c r="O59" s="54"/>
      <c r="P59" s="90" t="s">
        <v>95</v>
      </c>
      <c r="S59" s="90" t="s">
        <v>95</v>
      </c>
      <c r="V59" s="90" t="s">
        <v>95</v>
      </c>
    </row>
    <row r="60" spans="1:22" ht="19.5" customHeight="1">
      <c r="A60" s="160"/>
      <c r="C60" s="84"/>
      <c r="D60" s="55" t="s">
        <v>96</v>
      </c>
      <c r="E60" s="54"/>
      <c r="F60" s="54"/>
      <c r="G60" s="55" t="s">
        <v>96</v>
      </c>
      <c r="H60" s="54"/>
      <c r="I60" s="54"/>
      <c r="J60" s="55" t="s">
        <v>96</v>
      </c>
      <c r="K60" s="54"/>
      <c r="L60" s="54"/>
      <c r="M60" s="55" t="s">
        <v>96</v>
      </c>
      <c r="N60" s="85"/>
      <c r="O60" s="54"/>
      <c r="P60" s="55" t="s">
        <v>96</v>
      </c>
      <c r="S60" s="55" t="s">
        <v>96</v>
      </c>
      <c r="U60" s="55"/>
      <c r="V60" s="55" t="s">
        <v>96</v>
      </c>
    </row>
    <row r="61" spans="1:22" ht="19.5" customHeight="1">
      <c r="A61" s="160"/>
      <c r="C61" s="84"/>
      <c r="D61" s="55" t="s">
        <v>90</v>
      </c>
      <c r="E61" s="54"/>
      <c r="F61" s="54"/>
      <c r="G61" s="55" t="s">
        <v>90</v>
      </c>
      <c r="H61" s="54"/>
      <c r="I61" s="54"/>
      <c r="J61" s="55" t="s">
        <v>90</v>
      </c>
      <c r="K61" s="54"/>
      <c r="L61" s="54"/>
      <c r="M61" s="55" t="s">
        <v>90</v>
      </c>
      <c r="N61" s="85"/>
      <c r="O61" s="54"/>
      <c r="P61" s="55" t="s">
        <v>90</v>
      </c>
      <c r="S61" s="55" t="s">
        <v>90</v>
      </c>
      <c r="V61" s="55" t="s">
        <v>90</v>
      </c>
    </row>
    <row r="62" spans="1:22" ht="19.5" customHeight="1">
      <c r="A62" s="160"/>
      <c r="C62" s="84"/>
      <c r="D62" s="55" t="s">
        <v>91</v>
      </c>
      <c r="E62" s="85"/>
      <c r="F62" s="54"/>
      <c r="G62" s="55" t="s">
        <v>91</v>
      </c>
      <c r="H62" s="85"/>
      <c r="I62" s="54"/>
      <c r="J62" s="55" t="s">
        <v>91</v>
      </c>
      <c r="K62" s="54"/>
      <c r="L62" s="54"/>
      <c r="M62" s="55" t="s">
        <v>91</v>
      </c>
      <c r="N62" s="85"/>
      <c r="O62" s="54"/>
      <c r="P62" s="55" t="s">
        <v>91</v>
      </c>
      <c r="S62" s="55" t="s">
        <v>91</v>
      </c>
      <c r="V62" s="55" t="s">
        <v>91</v>
      </c>
    </row>
    <row r="63" spans="1:22" ht="19.5" customHeight="1">
      <c r="A63" s="160"/>
      <c r="C63" s="84"/>
      <c r="D63" s="90" t="s">
        <v>22</v>
      </c>
      <c r="E63" s="139" t="s">
        <v>167</v>
      </c>
      <c r="F63" s="54"/>
      <c r="G63" s="90" t="s">
        <v>22</v>
      </c>
      <c r="I63" s="54"/>
      <c r="J63" s="90" t="s">
        <v>22</v>
      </c>
      <c r="K63" s="139" t="s">
        <v>166</v>
      </c>
      <c r="L63" s="54"/>
      <c r="M63" s="90" t="s">
        <v>22</v>
      </c>
      <c r="O63" s="54"/>
      <c r="P63" s="90" t="s">
        <v>22</v>
      </c>
      <c r="Q63" s="139" t="s">
        <v>171</v>
      </c>
      <c r="S63" s="90" t="s">
        <v>22</v>
      </c>
      <c r="T63" s="82"/>
      <c r="V63" s="90" t="s">
        <v>22</v>
      </c>
    </row>
    <row r="64" spans="1:22" ht="18.75">
      <c r="A64" s="160"/>
      <c r="C64" s="84"/>
      <c r="D64" s="90" t="s">
        <v>23</v>
      </c>
      <c r="E64" s="111"/>
      <c r="F64" s="54"/>
      <c r="G64" s="90" t="s">
        <v>23</v>
      </c>
      <c r="H64" s="117"/>
      <c r="I64" s="54"/>
      <c r="J64" s="90" t="s">
        <v>23</v>
      </c>
      <c r="L64" s="54"/>
      <c r="M64" s="90" t="s">
        <v>23</v>
      </c>
      <c r="O64" s="54"/>
      <c r="P64" s="90" t="s">
        <v>23</v>
      </c>
      <c r="Q64" s="85"/>
      <c r="S64" s="90" t="s">
        <v>23</v>
      </c>
      <c r="U64" s="56"/>
      <c r="V64" s="90" t="s">
        <v>23</v>
      </c>
    </row>
    <row r="65" spans="1:22" ht="19.5" customHeight="1">
      <c r="A65" s="160"/>
      <c r="C65" s="84"/>
      <c r="D65" s="56" t="s">
        <v>24</v>
      </c>
      <c r="E65" s="85"/>
      <c r="F65" s="54"/>
      <c r="G65" s="56" t="s">
        <v>24</v>
      </c>
      <c r="I65" s="54"/>
      <c r="J65" s="56" t="s">
        <v>24</v>
      </c>
      <c r="L65" s="54"/>
      <c r="M65" s="56" t="s">
        <v>24</v>
      </c>
      <c r="N65" s="85"/>
      <c r="O65" s="54"/>
      <c r="P65" s="56" t="s">
        <v>24</v>
      </c>
      <c r="Q65" s="85" t="s">
        <v>194</v>
      </c>
      <c r="S65" s="56" t="s">
        <v>24</v>
      </c>
      <c r="U65" s="56"/>
      <c r="V65" s="56" t="s">
        <v>24</v>
      </c>
    </row>
    <row r="66" spans="1:22" ht="39" customHeight="1">
      <c r="A66" s="160"/>
      <c r="C66" s="84"/>
      <c r="D66" s="56" t="s">
        <v>25</v>
      </c>
      <c r="E66" s="123" t="s">
        <v>139</v>
      </c>
      <c r="F66" s="54"/>
      <c r="G66" s="56" t="s">
        <v>25</v>
      </c>
      <c r="H66" s="125" t="s">
        <v>127</v>
      </c>
      <c r="I66" s="54"/>
      <c r="J66" s="56" t="s">
        <v>25</v>
      </c>
      <c r="K66" s="86"/>
      <c r="L66" s="54"/>
      <c r="M66" s="56" t="s">
        <v>25</v>
      </c>
      <c r="N66" s="75" t="s">
        <v>154</v>
      </c>
      <c r="O66" s="54"/>
      <c r="P66" s="56" t="s">
        <v>25</v>
      </c>
      <c r="S66" s="56" t="s">
        <v>25</v>
      </c>
      <c r="V66" s="56" t="s">
        <v>25</v>
      </c>
    </row>
    <row r="67" spans="1:22" ht="19.5" customHeight="1">
      <c r="A67" s="160"/>
      <c r="C67" s="84"/>
      <c r="D67" s="90" t="s">
        <v>26</v>
      </c>
      <c r="E67" s="86"/>
      <c r="F67" s="54"/>
      <c r="G67" s="90" t="s">
        <v>26</v>
      </c>
      <c r="H67" s="88"/>
      <c r="I67" s="54"/>
      <c r="J67" s="90" t="s">
        <v>26</v>
      </c>
      <c r="L67" s="54"/>
      <c r="M67" s="90" t="s">
        <v>26</v>
      </c>
      <c r="N67" s="95" t="s">
        <v>117</v>
      </c>
      <c r="O67" s="110"/>
      <c r="P67" s="90" t="s">
        <v>26</v>
      </c>
      <c r="Q67" s="85"/>
      <c r="S67" s="90" t="s">
        <v>26</v>
      </c>
      <c r="U67" s="56"/>
      <c r="V67" s="90" t="s">
        <v>26</v>
      </c>
    </row>
    <row r="68" spans="1:22" ht="13.5" customHeight="1">
      <c r="A68" s="160"/>
      <c r="C68" s="84"/>
      <c r="D68" s="56" t="s">
        <v>27</v>
      </c>
      <c r="E68" s="131" t="s">
        <v>143</v>
      </c>
      <c r="F68" s="54"/>
      <c r="G68" s="56" t="s">
        <v>27</v>
      </c>
      <c r="H68" s="155" t="s">
        <v>224</v>
      </c>
      <c r="I68" s="54"/>
      <c r="J68" s="56" t="s">
        <v>27</v>
      </c>
      <c r="L68" s="54"/>
      <c r="M68" s="56" t="s">
        <v>27</v>
      </c>
      <c r="N68" s="85"/>
      <c r="O68" s="54"/>
      <c r="P68" s="56" t="s">
        <v>27</v>
      </c>
      <c r="Q68" s="131" t="s">
        <v>143</v>
      </c>
      <c r="S68" s="56" t="s">
        <v>27</v>
      </c>
      <c r="V68" s="56" t="s">
        <v>27</v>
      </c>
    </row>
    <row r="69" spans="1:22" ht="24" customHeight="1">
      <c r="A69" s="160"/>
      <c r="D69" s="90" t="s">
        <v>28</v>
      </c>
      <c r="E69" s="131" t="s">
        <v>143</v>
      </c>
      <c r="F69" s="54"/>
      <c r="G69" s="90" t="s">
        <v>28</v>
      </c>
      <c r="H69" s="85"/>
      <c r="I69" s="54"/>
      <c r="J69" s="90" t="s">
        <v>28</v>
      </c>
      <c r="K69" s="87"/>
      <c r="L69" s="54"/>
      <c r="M69" s="90" t="s">
        <v>28</v>
      </c>
      <c r="N69" s="85"/>
      <c r="O69" s="54"/>
      <c r="P69" s="90" t="s">
        <v>28</v>
      </c>
      <c r="Q69" s="131" t="s">
        <v>143</v>
      </c>
      <c r="S69" s="90" t="s">
        <v>28</v>
      </c>
      <c r="T69" s="85"/>
      <c r="V69" s="90" t="s">
        <v>28</v>
      </c>
    </row>
    <row r="70" spans="1:22" ht="82.5" customHeight="1">
      <c r="A70" s="160"/>
      <c r="D70" s="90" t="s">
        <v>92</v>
      </c>
      <c r="F70" s="54"/>
      <c r="G70" s="90" t="s">
        <v>92</v>
      </c>
      <c r="H70" s="149" t="s">
        <v>225</v>
      </c>
      <c r="I70" s="54"/>
      <c r="J70" s="90" t="s">
        <v>92</v>
      </c>
      <c r="K70" s="136" t="s">
        <v>161</v>
      </c>
      <c r="L70" s="110"/>
      <c r="M70" s="90" t="s">
        <v>92</v>
      </c>
      <c r="N70" s="124" t="s">
        <v>134</v>
      </c>
      <c r="O70" s="54"/>
      <c r="P70" s="90" t="s">
        <v>92</v>
      </c>
      <c r="Q70" s="135" t="s">
        <v>229</v>
      </c>
      <c r="R70" s="57"/>
      <c r="S70" s="90" t="s">
        <v>92</v>
      </c>
      <c r="T70" s="85"/>
      <c r="V70" s="90" t="s">
        <v>92</v>
      </c>
    </row>
    <row r="71" spans="1:22" ht="54.75" customHeight="1">
      <c r="A71" s="160"/>
      <c r="D71" s="90" t="s">
        <v>29</v>
      </c>
      <c r="F71" s="54"/>
      <c r="G71" s="90" t="s">
        <v>29</v>
      </c>
      <c r="H71" s="95"/>
      <c r="I71" s="54"/>
      <c r="J71" s="90" t="s">
        <v>29</v>
      </c>
      <c r="L71" s="54"/>
      <c r="M71" s="90" t="s">
        <v>29</v>
      </c>
      <c r="N71" s="124" t="s">
        <v>128</v>
      </c>
      <c r="O71" s="54"/>
      <c r="P71" s="90" t="s">
        <v>29</v>
      </c>
      <c r="Q71" s="135" t="s">
        <v>226</v>
      </c>
      <c r="S71" s="90" t="s">
        <v>29</v>
      </c>
      <c r="T71" s="85"/>
      <c r="V71" s="90" t="s">
        <v>29</v>
      </c>
    </row>
    <row r="72" spans="1:22" ht="60" customHeight="1">
      <c r="A72" s="160"/>
      <c r="B72" s="131" t="s">
        <v>185</v>
      </c>
      <c r="C72" s="84"/>
      <c r="D72" s="90" t="s">
        <v>30</v>
      </c>
      <c r="E72" s="131" t="s">
        <v>185</v>
      </c>
      <c r="F72" s="54"/>
      <c r="G72" s="90" t="s">
        <v>30</v>
      </c>
      <c r="H72" s="131" t="s">
        <v>185</v>
      </c>
      <c r="I72" s="54"/>
      <c r="J72" s="90" t="s">
        <v>30</v>
      </c>
      <c r="K72" s="131" t="s">
        <v>185</v>
      </c>
      <c r="L72" s="54"/>
      <c r="M72" s="90" t="s">
        <v>30</v>
      </c>
      <c r="N72" s="131" t="s">
        <v>185</v>
      </c>
      <c r="O72" s="54"/>
      <c r="P72" s="90" t="s">
        <v>30</v>
      </c>
      <c r="Q72" s="131" t="s">
        <v>185</v>
      </c>
      <c r="S72" s="90" t="s">
        <v>30</v>
      </c>
      <c r="T72" s="131" t="s">
        <v>185</v>
      </c>
      <c r="V72" s="90" t="s">
        <v>30</v>
      </c>
    </row>
    <row r="73" spans="1:22" ht="51.75" customHeight="1">
      <c r="A73" s="160"/>
      <c r="B73" s="85"/>
      <c r="C73" s="84"/>
      <c r="D73" s="90" t="s">
        <v>93</v>
      </c>
      <c r="F73" s="54"/>
      <c r="G73" s="90" t="s">
        <v>93</v>
      </c>
      <c r="H73" s="85"/>
      <c r="I73" s="54"/>
      <c r="J73" s="90" t="s">
        <v>93</v>
      </c>
      <c r="K73" s="85"/>
      <c r="L73" s="54"/>
      <c r="M73" s="90" t="s">
        <v>93</v>
      </c>
      <c r="N73" s="124" t="s">
        <v>128</v>
      </c>
      <c r="O73" s="54"/>
      <c r="P73" s="90" t="s">
        <v>93</v>
      </c>
      <c r="Q73" s="158"/>
      <c r="S73" s="90" t="s">
        <v>93</v>
      </c>
      <c r="V73" s="90" t="s">
        <v>93</v>
      </c>
    </row>
    <row r="74" spans="1:22" ht="19.5" customHeight="1">
      <c r="A74" s="89"/>
      <c r="B74" s="91"/>
      <c r="C74" s="90"/>
      <c r="D74" s="90" t="s">
        <v>94</v>
      </c>
      <c r="E74" s="85"/>
      <c r="F74" s="90"/>
      <c r="G74" s="90" t="s">
        <v>94</v>
      </c>
      <c r="H74" s="85"/>
      <c r="I74" s="90"/>
      <c r="J74" s="90" t="s">
        <v>94</v>
      </c>
      <c r="K74" s="90"/>
      <c r="L74" s="90"/>
      <c r="M74" s="90" t="s">
        <v>94</v>
      </c>
      <c r="N74" s="92"/>
      <c r="O74" s="90"/>
      <c r="P74" s="90" t="s">
        <v>94</v>
      </c>
      <c r="Q74" s="85" t="s">
        <v>116</v>
      </c>
      <c r="R74" s="90"/>
      <c r="S74" s="90" t="s">
        <v>94</v>
      </c>
      <c r="T74" s="90"/>
      <c r="U74" s="90"/>
      <c r="V74" s="90" t="s">
        <v>94</v>
      </c>
    </row>
    <row r="75" spans="1:22" ht="64.5" customHeight="1">
      <c r="A75" s="143"/>
      <c r="B75" s="91"/>
      <c r="C75" s="144"/>
      <c r="D75" s="144"/>
      <c r="E75" s="85"/>
      <c r="F75" s="144"/>
      <c r="G75" s="144" t="s">
        <v>186</v>
      </c>
      <c r="H75" s="85"/>
      <c r="I75" s="144"/>
      <c r="J75" s="144" t="s">
        <v>186</v>
      </c>
      <c r="K75" s="144"/>
      <c r="L75" s="144"/>
      <c r="M75" s="144" t="s">
        <v>186</v>
      </c>
      <c r="N75" s="92"/>
      <c r="O75" s="144"/>
      <c r="P75" s="144" t="s">
        <v>186</v>
      </c>
      <c r="Q75" s="156"/>
      <c r="R75" s="144"/>
      <c r="S75" s="144" t="s">
        <v>186</v>
      </c>
      <c r="T75" s="144"/>
      <c r="U75" s="144"/>
      <c r="V75" s="144"/>
    </row>
    <row r="76" spans="1:22" s="78" customFormat="1" ht="19.5" customHeight="1">
      <c r="A76" s="80"/>
      <c r="B76" s="75" t="s">
        <v>99</v>
      </c>
      <c r="C76" s="75"/>
      <c r="D76" s="75"/>
      <c r="E76" s="75" t="s">
        <v>100</v>
      </c>
      <c r="F76" s="75"/>
      <c r="G76" s="75"/>
      <c r="H76" s="75" t="s">
        <v>101</v>
      </c>
      <c r="I76" s="75"/>
      <c r="J76" s="75"/>
      <c r="K76" s="76" t="s">
        <v>102</v>
      </c>
      <c r="L76" s="75"/>
      <c r="M76" s="75"/>
      <c r="N76" s="76" t="s">
        <v>103</v>
      </c>
      <c r="O76" s="75"/>
      <c r="P76" s="75"/>
      <c r="Q76" s="77" t="s">
        <v>104</v>
      </c>
      <c r="R76" s="75"/>
      <c r="S76" s="75"/>
      <c r="T76" s="76" t="s">
        <v>105</v>
      </c>
      <c r="U76" s="75"/>
      <c r="V76" s="75"/>
    </row>
    <row r="77" spans="1:22" ht="19.5" customHeight="1">
      <c r="A77" s="160" t="s">
        <v>88</v>
      </c>
      <c r="C77" s="84"/>
      <c r="D77" s="90" t="s">
        <v>95</v>
      </c>
      <c r="E77" s="54"/>
      <c r="F77" s="54"/>
      <c r="G77" s="90" t="s">
        <v>95</v>
      </c>
      <c r="H77" s="54"/>
      <c r="I77" s="54"/>
      <c r="J77" s="90" t="s">
        <v>95</v>
      </c>
      <c r="K77" s="54"/>
      <c r="L77" s="54"/>
      <c r="M77" s="90" t="s">
        <v>95</v>
      </c>
      <c r="N77" s="54"/>
      <c r="O77" s="54"/>
      <c r="P77" s="90" t="s">
        <v>95</v>
      </c>
      <c r="S77" s="90" t="s">
        <v>95</v>
      </c>
      <c r="V77" s="90" t="s">
        <v>95</v>
      </c>
    </row>
    <row r="78" spans="1:22" ht="19.5" customHeight="1">
      <c r="A78" s="160"/>
      <c r="C78" s="84"/>
      <c r="D78" s="55" t="s">
        <v>96</v>
      </c>
      <c r="E78" s="54"/>
      <c r="F78" s="54"/>
      <c r="G78" s="55" t="s">
        <v>96</v>
      </c>
      <c r="H78" s="85"/>
      <c r="I78" s="54"/>
      <c r="J78" s="55" t="s">
        <v>96</v>
      </c>
      <c r="K78" s="54"/>
      <c r="L78" s="54"/>
      <c r="M78" s="55" t="s">
        <v>96</v>
      </c>
      <c r="N78" s="85"/>
      <c r="O78" s="54"/>
      <c r="P78" s="55" t="s">
        <v>96</v>
      </c>
      <c r="Q78" s="85"/>
      <c r="S78" s="55" t="s">
        <v>96</v>
      </c>
      <c r="T78" s="85"/>
      <c r="U78" s="55"/>
      <c r="V78" s="55" t="s">
        <v>96</v>
      </c>
    </row>
    <row r="79" spans="1:22" ht="19.5" customHeight="1">
      <c r="A79" s="160"/>
      <c r="C79" s="85"/>
      <c r="D79" s="55" t="s">
        <v>90</v>
      </c>
      <c r="E79" s="103"/>
      <c r="F79" s="54"/>
      <c r="G79" s="55" t="s">
        <v>90</v>
      </c>
      <c r="H79" s="85"/>
      <c r="I79" s="54"/>
      <c r="J79" s="55" t="s">
        <v>90</v>
      </c>
      <c r="K79" s="85"/>
      <c r="L79" s="54"/>
      <c r="M79" s="55" t="s">
        <v>90</v>
      </c>
      <c r="N79" s="85"/>
      <c r="O79" s="54"/>
      <c r="P79" s="55" t="s">
        <v>90</v>
      </c>
      <c r="Q79" s="85"/>
      <c r="S79" s="55" t="s">
        <v>90</v>
      </c>
      <c r="T79" s="85"/>
      <c r="V79" s="55" t="s">
        <v>90</v>
      </c>
    </row>
    <row r="80" spans="1:22" ht="19.5" customHeight="1">
      <c r="A80" s="160"/>
      <c r="C80" s="84"/>
      <c r="D80" s="55" t="s">
        <v>91</v>
      </c>
      <c r="E80" s="86"/>
      <c r="F80" s="54"/>
      <c r="G80" s="55" t="s">
        <v>91</v>
      </c>
      <c r="H80" s="85"/>
      <c r="I80" s="54"/>
      <c r="J80" s="55" t="s">
        <v>91</v>
      </c>
      <c r="K80" s="54"/>
      <c r="L80" s="54"/>
      <c r="M80" s="55" t="s">
        <v>91</v>
      </c>
      <c r="N80" s="85"/>
      <c r="O80" s="54"/>
      <c r="P80" s="55" t="s">
        <v>91</v>
      </c>
      <c r="Q80" s="85"/>
      <c r="S80" s="55" t="s">
        <v>91</v>
      </c>
      <c r="T80" s="85"/>
      <c r="V80" s="55" t="s">
        <v>91</v>
      </c>
    </row>
    <row r="81" spans="1:22" ht="19.5" customHeight="1">
      <c r="A81" s="160"/>
      <c r="C81" s="84"/>
      <c r="D81" s="90" t="s">
        <v>22</v>
      </c>
      <c r="E81" s="85"/>
      <c r="F81" s="54"/>
      <c r="G81" s="90" t="s">
        <v>22</v>
      </c>
      <c r="H81" s="85"/>
      <c r="I81" s="54"/>
      <c r="J81" s="90" t="s">
        <v>22</v>
      </c>
      <c r="K81" s="54"/>
      <c r="L81" s="54"/>
      <c r="M81" s="90" t="s">
        <v>22</v>
      </c>
      <c r="O81" s="54"/>
      <c r="P81" s="90" t="s">
        <v>22</v>
      </c>
      <c r="S81" s="90" t="s">
        <v>22</v>
      </c>
      <c r="T81" s="85"/>
      <c r="V81" s="90" t="s">
        <v>22</v>
      </c>
    </row>
    <row r="82" spans="1:22" ht="19.5" customHeight="1">
      <c r="A82" s="160"/>
      <c r="C82" s="84"/>
      <c r="D82" s="90" t="s">
        <v>23</v>
      </c>
      <c r="E82" s="86"/>
      <c r="F82" s="54"/>
      <c r="G82" s="90" t="s">
        <v>23</v>
      </c>
      <c r="H82" s="150" t="s">
        <v>214</v>
      </c>
      <c r="I82" s="54"/>
      <c r="J82" s="90" t="s">
        <v>23</v>
      </c>
      <c r="K82" s="54"/>
      <c r="L82" s="54"/>
      <c r="M82" s="90" t="s">
        <v>23</v>
      </c>
      <c r="N82" s="85"/>
      <c r="O82" s="54"/>
      <c r="P82" s="90" t="s">
        <v>23</v>
      </c>
      <c r="Q82" s="85"/>
      <c r="S82" s="90" t="s">
        <v>23</v>
      </c>
      <c r="T82" s="85"/>
      <c r="U82" s="56"/>
      <c r="V82" s="90" t="s">
        <v>23</v>
      </c>
    </row>
    <row r="83" spans="1:22" ht="19.5" customHeight="1">
      <c r="A83" s="160"/>
      <c r="B83" s="105"/>
      <c r="D83" s="56" t="s">
        <v>24</v>
      </c>
      <c r="E83" s="146" t="s">
        <v>180</v>
      </c>
      <c r="F83" s="54"/>
      <c r="G83" s="56" t="s">
        <v>24</v>
      </c>
      <c r="I83" s="54"/>
      <c r="J83" s="56" t="s">
        <v>24</v>
      </c>
      <c r="K83" s="146" t="s">
        <v>177</v>
      </c>
      <c r="L83" s="54"/>
      <c r="M83" s="56" t="s">
        <v>24</v>
      </c>
      <c r="N83" s="85"/>
      <c r="O83" s="54"/>
      <c r="P83" s="56" t="s">
        <v>24</v>
      </c>
      <c r="Q83" s="99"/>
      <c r="S83" s="56" t="s">
        <v>24</v>
      </c>
      <c r="T83" s="85"/>
      <c r="U83" s="56"/>
      <c r="V83" s="56" t="s">
        <v>24</v>
      </c>
    </row>
    <row r="84" spans="1:22" ht="39" customHeight="1">
      <c r="A84" s="160"/>
      <c r="C84" s="84"/>
      <c r="D84" s="56" t="s">
        <v>25</v>
      </c>
      <c r="E84" s="75" t="s">
        <v>155</v>
      </c>
      <c r="F84" s="54"/>
      <c r="G84" s="56" t="s">
        <v>25</v>
      </c>
      <c r="H84" s="151"/>
      <c r="I84" s="54"/>
      <c r="J84" s="56" t="s">
        <v>25</v>
      </c>
      <c r="K84" s="75" t="s">
        <v>157</v>
      </c>
      <c r="L84" s="54"/>
      <c r="M84" s="56" t="s">
        <v>25</v>
      </c>
      <c r="N84" s="114" t="s">
        <v>216</v>
      </c>
      <c r="O84" s="54"/>
      <c r="P84" s="56" t="s">
        <v>25</v>
      </c>
      <c r="Q84" s="101"/>
      <c r="S84" s="56" t="s">
        <v>25</v>
      </c>
      <c r="T84" s="85"/>
      <c r="V84" s="56" t="s">
        <v>25</v>
      </c>
    </row>
    <row r="85" spans="1:22" ht="45" customHeight="1">
      <c r="A85" s="160"/>
      <c r="C85" s="84"/>
      <c r="D85" s="90" t="s">
        <v>26</v>
      </c>
      <c r="E85" s="75" t="s">
        <v>155</v>
      </c>
      <c r="F85" s="54"/>
      <c r="G85" s="90" t="s">
        <v>26</v>
      </c>
      <c r="H85" s="151"/>
      <c r="I85" s="54"/>
      <c r="J85" s="90" t="s">
        <v>26</v>
      </c>
      <c r="K85" s="125" t="s">
        <v>137</v>
      </c>
      <c r="L85" s="54"/>
      <c r="M85" s="90" t="s">
        <v>26</v>
      </c>
      <c r="N85" s="151"/>
      <c r="O85" s="54"/>
      <c r="P85" s="90" t="s">
        <v>26</v>
      </c>
      <c r="Q85" s="125" t="s">
        <v>132</v>
      </c>
      <c r="S85" s="90" t="s">
        <v>26</v>
      </c>
      <c r="T85" s="85"/>
      <c r="U85" s="56"/>
      <c r="V85" s="90" t="s">
        <v>26</v>
      </c>
    </row>
    <row r="86" spans="1:22" ht="19.5" customHeight="1">
      <c r="A86" s="160"/>
      <c r="C86" s="84"/>
      <c r="D86" s="56" t="s">
        <v>27</v>
      </c>
      <c r="E86" s="86"/>
      <c r="F86" s="54"/>
      <c r="G86" s="56" t="s">
        <v>27</v>
      </c>
      <c r="H86" s="54" t="s">
        <v>195</v>
      </c>
      <c r="I86" s="54"/>
      <c r="J86" s="56" t="s">
        <v>27</v>
      </c>
      <c r="K86" s="54" t="s">
        <v>188</v>
      </c>
      <c r="L86" s="54"/>
      <c r="M86" s="56" t="s">
        <v>27</v>
      </c>
      <c r="N86" s="85" t="s">
        <v>189</v>
      </c>
      <c r="O86" s="54"/>
      <c r="P86" s="56" t="s">
        <v>27</v>
      </c>
      <c r="Q86" s="131" t="s">
        <v>143</v>
      </c>
      <c r="S86" s="56" t="s">
        <v>27</v>
      </c>
      <c r="T86" s="85"/>
      <c r="V86" s="56" t="s">
        <v>27</v>
      </c>
    </row>
    <row r="87" spans="1:22" ht="49.5" customHeight="1">
      <c r="A87" s="160"/>
      <c r="D87" s="90" t="s">
        <v>28</v>
      </c>
      <c r="E87" s="86"/>
      <c r="F87" s="54"/>
      <c r="G87" s="90" t="s">
        <v>28</v>
      </c>
      <c r="I87" s="54"/>
      <c r="J87" s="90" t="s">
        <v>28</v>
      </c>
      <c r="K87" s="54" t="s">
        <v>193</v>
      </c>
      <c r="L87" s="54"/>
      <c r="M87" s="90" t="s">
        <v>28</v>
      </c>
      <c r="N87" s="85"/>
      <c r="O87" s="54"/>
      <c r="P87" s="90" t="s">
        <v>28</v>
      </c>
      <c r="Q87" s="131" t="s">
        <v>143</v>
      </c>
      <c r="S87" s="90" t="s">
        <v>28</v>
      </c>
      <c r="T87" s="85"/>
      <c r="V87" s="90" t="s">
        <v>28</v>
      </c>
    </row>
    <row r="88" spans="1:22" ht="39.75" customHeight="1">
      <c r="A88" s="160"/>
      <c r="D88" s="90" t="s">
        <v>92</v>
      </c>
      <c r="E88" s="126" t="s">
        <v>136</v>
      </c>
      <c r="F88" s="54"/>
      <c r="G88" s="90" t="s">
        <v>92</v>
      </c>
      <c r="H88" s="124" t="s">
        <v>135</v>
      </c>
      <c r="I88" s="54"/>
      <c r="J88" s="90" t="s">
        <v>92</v>
      </c>
      <c r="K88" s="118" t="s">
        <v>119</v>
      </c>
      <c r="L88" s="110"/>
      <c r="M88" s="90" t="s">
        <v>92</v>
      </c>
      <c r="N88" s="85" t="s">
        <v>120</v>
      </c>
      <c r="O88" s="110"/>
      <c r="P88" s="90" t="s">
        <v>92</v>
      </c>
      <c r="Q88" s="97"/>
      <c r="S88" s="90" t="s">
        <v>92</v>
      </c>
      <c r="T88" s="85"/>
      <c r="V88" s="90" t="s">
        <v>92</v>
      </c>
    </row>
    <row r="89" spans="1:22" ht="40.5" customHeight="1">
      <c r="A89" s="160"/>
      <c r="D89" s="90" t="s">
        <v>29</v>
      </c>
      <c r="E89" s="86" t="s">
        <v>118</v>
      </c>
      <c r="F89" s="110"/>
      <c r="G89" s="90" t="s">
        <v>29</v>
      </c>
      <c r="H89" s="122" t="s">
        <v>130</v>
      </c>
      <c r="I89" s="54"/>
      <c r="J89" s="90" t="s">
        <v>29</v>
      </c>
      <c r="K89" s="118" t="s">
        <v>119</v>
      </c>
      <c r="L89" s="110"/>
      <c r="M89" s="90" t="s">
        <v>29</v>
      </c>
      <c r="N89" s="85" t="s">
        <v>120</v>
      </c>
      <c r="O89" s="110"/>
      <c r="P89" s="90" t="s">
        <v>29</v>
      </c>
      <c r="Q89" s="85"/>
      <c r="S89" s="90" t="s">
        <v>29</v>
      </c>
      <c r="T89" s="85"/>
      <c r="V89" s="90" t="s">
        <v>29</v>
      </c>
    </row>
    <row r="90" spans="1:22" ht="42" customHeight="1">
      <c r="A90" s="160"/>
      <c r="B90" s="131" t="s">
        <v>185</v>
      </c>
      <c r="C90" s="85"/>
      <c r="D90" s="90" t="s">
        <v>30</v>
      </c>
      <c r="E90" s="131" t="s">
        <v>185</v>
      </c>
      <c r="F90" s="54"/>
      <c r="G90" s="90" t="s">
        <v>30</v>
      </c>
      <c r="H90" s="131" t="s">
        <v>185</v>
      </c>
      <c r="I90" s="54"/>
      <c r="J90" s="90" t="s">
        <v>30</v>
      </c>
      <c r="K90" s="131" t="s">
        <v>185</v>
      </c>
      <c r="L90" s="110"/>
      <c r="M90" s="90" t="s">
        <v>30</v>
      </c>
      <c r="N90" s="131" t="s">
        <v>185</v>
      </c>
      <c r="O90" s="110"/>
      <c r="P90" s="90" t="s">
        <v>30</v>
      </c>
      <c r="Q90" s="131" t="s">
        <v>185</v>
      </c>
      <c r="S90" s="90" t="s">
        <v>30</v>
      </c>
      <c r="T90" s="131" t="s">
        <v>185</v>
      </c>
      <c r="V90" s="90" t="s">
        <v>30</v>
      </c>
    </row>
    <row r="91" spans="1:22" ht="29.25" customHeight="1">
      <c r="A91" s="160"/>
      <c r="B91" s="107"/>
      <c r="C91" s="84"/>
      <c r="D91" s="90" t="s">
        <v>93</v>
      </c>
      <c r="E91" s="127" t="s">
        <v>140</v>
      </c>
      <c r="F91" s="54"/>
      <c r="G91" s="90" t="s">
        <v>93</v>
      </c>
      <c r="H91" s="124" t="s">
        <v>129</v>
      </c>
      <c r="I91" s="54"/>
      <c r="J91" s="90" t="s">
        <v>93</v>
      </c>
      <c r="L91" s="54"/>
      <c r="M91" s="90" t="s">
        <v>93</v>
      </c>
      <c r="N91" s="85" t="s">
        <v>120</v>
      </c>
      <c r="O91" s="54"/>
      <c r="P91" s="90" t="s">
        <v>93</v>
      </c>
      <c r="Q91" s="87"/>
      <c r="S91" s="90" t="s">
        <v>93</v>
      </c>
      <c r="T91" s="85"/>
      <c r="V91" s="90" t="s">
        <v>93</v>
      </c>
    </row>
    <row r="92" spans="1:22" ht="19.5" customHeight="1">
      <c r="A92" s="89"/>
      <c r="B92" s="91"/>
      <c r="C92" s="90"/>
      <c r="D92" s="90" t="s">
        <v>94</v>
      </c>
      <c r="E92" s="85"/>
      <c r="F92" s="90"/>
      <c r="G92" s="90" t="s">
        <v>94</v>
      </c>
      <c r="H92" s="105"/>
      <c r="I92" s="90"/>
      <c r="J92" s="90" t="s">
        <v>94</v>
      </c>
      <c r="K92" s="90"/>
      <c r="L92" s="90"/>
      <c r="M92" s="90" t="s">
        <v>94</v>
      </c>
      <c r="N92" s="85"/>
      <c r="O92" s="90"/>
      <c r="P92" s="90" t="s">
        <v>94</v>
      </c>
      <c r="Q92" s="104"/>
      <c r="R92" s="90"/>
      <c r="S92" s="90" t="s">
        <v>94</v>
      </c>
      <c r="T92" s="85"/>
      <c r="U92" s="90"/>
      <c r="V92" s="90" t="s">
        <v>94</v>
      </c>
    </row>
    <row r="93" spans="1:22" ht="19.5" customHeight="1">
      <c r="A93" s="143"/>
      <c r="B93" s="91"/>
      <c r="C93" s="144"/>
      <c r="D93" s="144"/>
      <c r="E93" s="85"/>
      <c r="F93" s="144"/>
      <c r="G93" s="144" t="s">
        <v>186</v>
      </c>
      <c r="H93" s="105"/>
      <c r="I93" s="144"/>
      <c r="J93" s="144" t="s">
        <v>186</v>
      </c>
      <c r="K93" s="144"/>
      <c r="L93" s="144"/>
      <c r="M93" s="144" t="s">
        <v>186</v>
      </c>
      <c r="N93" s="85"/>
      <c r="O93" s="144"/>
      <c r="P93" s="144" t="s">
        <v>186</v>
      </c>
      <c r="Q93" s="104"/>
      <c r="R93" s="144"/>
      <c r="S93" s="144" t="s">
        <v>186</v>
      </c>
      <c r="T93" s="85"/>
      <c r="U93" s="144"/>
      <c r="V93" s="144"/>
    </row>
    <row r="94" spans="1:22" s="78" customFormat="1" ht="19.5" customHeight="1">
      <c r="A94" s="80"/>
      <c r="B94" s="75" t="s">
        <v>99</v>
      </c>
      <c r="C94" s="75"/>
      <c r="D94" s="75"/>
      <c r="E94" s="75" t="s">
        <v>100</v>
      </c>
      <c r="F94" s="75"/>
      <c r="G94" s="75"/>
      <c r="H94" s="75" t="s">
        <v>101</v>
      </c>
      <c r="I94" s="75"/>
      <c r="J94" s="75"/>
      <c r="K94" s="76" t="s">
        <v>102</v>
      </c>
      <c r="L94" s="75"/>
      <c r="M94" s="75"/>
      <c r="N94" s="76" t="s">
        <v>103</v>
      </c>
      <c r="O94" s="75"/>
      <c r="P94" s="75"/>
      <c r="Q94" s="77" t="s">
        <v>104</v>
      </c>
      <c r="R94" s="75"/>
      <c r="S94" s="75"/>
      <c r="T94" s="76" t="s">
        <v>105</v>
      </c>
      <c r="U94" s="75"/>
      <c r="V94" s="75"/>
    </row>
    <row r="95" spans="1:22" ht="19.5" customHeight="1">
      <c r="A95" s="159" t="s">
        <v>89</v>
      </c>
      <c r="C95" s="84"/>
      <c r="D95" s="90" t="s">
        <v>95</v>
      </c>
      <c r="E95" s="54"/>
      <c r="F95" s="54"/>
      <c r="G95" s="90" t="s">
        <v>95</v>
      </c>
      <c r="H95" s="54"/>
      <c r="I95" s="54"/>
      <c r="J95" s="90" t="s">
        <v>95</v>
      </c>
      <c r="K95" s="54"/>
      <c r="L95" s="54"/>
      <c r="M95" s="90" t="s">
        <v>95</v>
      </c>
      <c r="N95" s="54"/>
      <c r="O95" s="54"/>
      <c r="P95" s="90" t="s">
        <v>95</v>
      </c>
      <c r="S95" s="90" t="s">
        <v>95</v>
      </c>
      <c r="T95" s="85"/>
      <c r="V95" s="90" t="s">
        <v>95</v>
      </c>
    </row>
    <row r="96" spans="1:22" ht="19.5" customHeight="1">
      <c r="A96" s="160"/>
      <c r="C96" s="84"/>
      <c r="D96" s="55" t="s">
        <v>96</v>
      </c>
      <c r="E96" s="54"/>
      <c r="F96" s="54"/>
      <c r="G96" s="55" t="s">
        <v>96</v>
      </c>
      <c r="J96" s="55" t="s">
        <v>96</v>
      </c>
      <c r="K96" s="54"/>
      <c r="L96" s="54"/>
      <c r="M96" s="55" t="s">
        <v>96</v>
      </c>
      <c r="N96" s="54"/>
      <c r="O96" s="54"/>
      <c r="P96" s="55" t="s">
        <v>96</v>
      </c>
      <c r="S96" s="55" t="s">
        <v>96</v>
      </c>
      <c r="T96" s="85"/>
      <c r="U96" s="55"/>
      <c r="V96" s="55" t="s">
        <v>96</v>
      </c>
    </row>
    <row r="97" spans="1:22" ht="19.5" customHeight="1">
      <c r="A97" s="160"/>
      <c r="C97" s="84"/>
      <c r="D97" s="55" t="s">
        <v>90</v>
      </c>
      <c r="E97" s="54"/>
      <c r="F97" s="54"/>
      <c r="G97" s="55" t="s">
        <v>90</v>
      </c>
      <c r="H97" s="54"/>
      <c r="I97" s="54"/>
      <c r="J97" s="55" t="s">
        <v>90</v>
      </c>
      <c r="K97" s="54"/>
      <c r="L97" s="54"/>
      <c r="M97" s="55" t="s">
        <v>90</v>
      </c>
      <c r="N97" s="85"/>
      <c r="O97" s="54"/>
      <c r="P97" s="55" t="s">
        <v>90</v>
      </c>
      <c r="S97" s="55" t="s">
        <v>90</v>
      </c>
      <c r="T97" s="85"/>
      <c r="V97" s="55" t="s">
        <v>90</v>
      </c>
    </row>
    <row r="98" spans="1:22" ht="19.5" customHeight="1">
      <c r="A98" s="160"/>
      <c r="C98" s="84"/>
      <c r="D98" s="55" t="s">
        <v>91</v>
      </c>
      <c r="E98" s="54"/>
      <c r="F98" s="54"/>
      <c r="G98" s="55" t="s">
        <v>91</v>
      </c>
      <c r="H98" s="54"/>
      <c r="I98" s="54"/>
      <c r="J98" s="55" t="s">
        <v>91</v>
      </c>
      <c r="K98" s="54"/>
      <c r="L98" s="54"/>
      <c r="M98" s="55" t="s">
        <v>91</v>
      </c>
      <c r="N98" s="85"/>
      <c r="O98" s="54"/>
      <c r="P98" s="55" t="s">
        <v>91</v>
      </c>
      <c r="S98" s="55" t="s">
        <v>91</v>
      </c>
      <c r="V98" s="55" t="s">
        <v>91</v>
      </c>
    </row>
    <row r="99" spans="1:22" ht="19.5" customHeight="1">
      <c r="A99" s="160"/>
      <c r="C99" s="84"/>
      <c r="D99" s="90" t="s">
        <v>22</v>
      </c>
      <c r="E99" s="155"/>
      <c r="F99" s="54"/>
      <c r="G99" s="90" t="s">
        <v>22</v>
      </c>
      <c r="I99" s="54"/>
      <c r="J99" s="90" t="s">
        <v>22</v>
      </c>
      <c r="L99" s="54"/>
      <c r="M99" s="90" t="s">
        <v>22</v>
      </c>
      <c r="N99" s="85"/>
      <c r="O99" s="54"/>
      <c r="P99" s="90" t="s">
        <v>22</v>
      </c>
      <c r="Q99" s="155"/>
      <c r="S99" s="90" t="s">
        <v>22</v>
      </c>
      <c r="V99" s="90" t="s">
        <v>22</v>
      </c>
    </row>
    <row r="100" spans="1:22" ht="19.5" customHeight="1">
      <c r="A100" s="160"/>
      <c r="D100" s="90" t="s">
        <v>23</v>
      </c>
      <c r="E100" s="75" t="s">
        <v>156</v>
      </c>
      <c r="F100" s="54"/>
      <c r="G100" s="90" t="s">
        <v>23</v>
      </c>
      <c r="I100" s="54"/>
      <c r="J100" s="90" t="s">
        <v>23</v>
      </c>
      <c r="K100" s="54"/>
      <c r="L100" s="54"/>
      <c r="M100" s="90" t="s">
        <v>23</v>
      </c>
      <c r="N100" s="85"/>
      <c r="O100" s="54"/>
      <c r="P100" s="90" t="s">
        <v>23</v>
      </c>
      <c r="S100" s="90" t="s">
        <v>23</v>
      </c>
      <c r="U100" s="56"/>
      <c r="V100" s="90" t="s">
        <v>23</v>
      </c>
    </row>
    <row r="101" spans="1:22" ht="19.5" customHeight="1">
      <c r="A101" s="160"/>
      <c r="C101" s="84"/>
      <c r="D101" s="56" t="s">
        <v>24</v>
      </c>
      <c r="F101" s="54"/>
      <c r="G101" s="56" t="s">
        <v>24</v>
      </c>
      <c r="H101" s="99"/>
      <c r="I101" s="54"/>
      <c r="J101" s="56" t="s">
        <v>24</v>
      </c>
      <c r="K101" s="98"/>
      <c r="L101" s="54"/>
      <c r="M101" s="56" t="s">
        <v>24</v>
      </c>
      <c r="N101" s="146" t="s">
        <v>184</v>
      </c>
      <c r="O101" s="54"/>
      <c r="P101" s="56" t="s">
        <v>24</v>
      </c>
      <c r="S101" s="56" t="s">
        <v>24</v>
      </c>
      <c r="U101" s="56"/>
      <c r="V101" s="56" t="s">
        <v>24</v>
      </c>
    </row>
    <row r="102" spans="1:22" ht="19.5" customHeight="1">
      <c r="A102" s="160"/>
      <c r="C102" s="84"/>
      <c r="D102" s="56" t="s">
        <v>25</v>
      </c>
      <c r="E102" s="132" t="s">
        <v>148</v>
      </c>
      <c r="F102" s="54"/>
      <c r="G102" s="56" t="s">
        <v>25</v>
      </c>
      <c r="H102" s="151"/>
      <c r="I102" s="54"/>
      <c r="J102" s="56" t="s">
        <v>25</v>
      </c>
      <c r="L102" s="54"/>
      <c r="M102" s="56" t="s">
        <v>25</v>
      </c>
      <c r="O102" s="54"/>
      <c r="P102" s="56" t="s">
        <v>25</v>
      </c>
      <c r="Q102" s="75" t="s">
        <v>158</v>
      </c>
      <c r="S102" s="56" t="s">
        <v>25</v>
      </c>
      <c r="V102" s="56" t="s">
        <v>25</v>
      </c>
    </row>
    <row r="103" spans="1:22" ht="49.5" customHeight="1">
      <c r="A103" s="160"/>
      <c r="D103" s="90" t="s">
        <v>26</v>
      </c>
      <c r="E103" s="102"/>
      <c r="F103" s="54"/>
      <c r="G103" s="90" t="s">
        <v>26</v>
      </c>
      <c r="H103" s="151"/>
      <c r="I103" s="54"/>
      <c r="J103" s="90" t="s">
        <v>26</v>
      </c>
      <c r="K103" s="85"/>
      <c r="L103" s="54"/>
      <c r="M103" s="90" t="s">
        <v>26</v>
      </c>
      <c r="N103" s="57"/>
      <c r="O103" s="54"/>
      <c r="P103" s="90" t="s">
        <v>26</v>
      </c>
      <c r="S103" s="90" t="s">
        <v>26</v>
      </c>
      <c r="U103" s="56"/>
      <c r="V103" s="90" t="s">
        <v>26</v>
      </c>
    </row>
    <row r="104" spans="1:22" ht="19.5" customHeight="1">
      <c r="A104" s="160"/>
      <c r="D104" s="56" t="s">
        <v>27</v>
      </c>
      <c r="E104" s="85"/>
      <c r="F104" s="54"/>
      <c r="G104" s="56" t="s">
        <v>27</v>
      </c>
      <c r="H104" s="85"/>
      <c r="I104" s="54"/>
      <c r="J104" s="56" t="s">
        <v>27</v>
      </c>
      <c r="K104" s="85" t="s">
        <v>191</v>
      </c>
      <c r="L104" s="54"/>
      <c r="M104" s="56" t="s">
        <v>27</v>
      </c>
      <c r="N104" s="85" t="s">
        <v>192</v>
      </c>
      <c r="O104" s="54"/>
      <c r="P104" s="56" t="s">
        <v>27</v>
      </c>
      <c r="Q104" s="131" t="s">
        <v>143</v>
      </c>
      <c r="S104" s="56" t="s">
        <v>27</v>
      </c>
      <c r="T104" s="85"/>
      <c r="V104" s="56" t="s">
        <v>27</v>
      </c>
    </row>
    <row r="105" spans="1:22" ht="19.5" customHeight="1">
      <c r="A105" s="160"/>
      <c r="C105" s="84"/>
      <c r="D105" s="90" t="s">
        <v>28</v>
      </c>
      <c r="E105" s="88"/>
      <c r="F105" s="54"/>
      <c r="G105" s="90" t="s">
        <v>28</v>
      </c>
      <c r="H105" s="85"/>
      <c r="I105" s="54"/>
      <c r="J105" s="90" t="s">
        <v>28</v>
      </c>
      <c r="K105" s="87"/>
      <c r="L105" s="54"/>
      <c r="M105" s="90" t="s">
        <v>28</v>
      </c>
      <c r="N105" s="85"/>
      <c r="O105" s="54"/>
      <c r="P105" s="90" t="s">
        <v>28</v>
      </c>
      <c r="Q105" s="131" t="s">
        <v>143</v>
      </c>
      <c r="S105" s="90" t="s">
        <v>28</v>
      </c>
      <c r="T105" s="85"/>
      <c r="V105" s="90" t="s">
        <v>28</v>
      </c>
    </row>
    <row r="106" spans="1:22" ht="35.25" customHeight="1">
      <c r="A106" s="160"/>
      <c r="C106" s="84"/>
      <c r="D106" s="90" t="s">
        <v>92</v>
      </c>
      <c r="E106" s="121" t="s">
        <v>200</v>
      </c>
      <c r="F106" s="110"/>
      <c r="G106" s="90" t="s">
        <v>92</v>
      </c>
      <c r="H106" s="123" t="s">
        <v>196</v>
      </c>
      <c r="I106" s="54"/>
      <c r="J106" s="90" t="s">
        <v>92</v>
      </c>
      <c r="K106" s="125" t="s">
        <v>144</v>
      </c>
      <c r="L106" s="54"/>
      <c r="M106" s="90" t="s">
        <v>92</v>
      </c>
      <c r="N106" s="133"/>
      <c r="O106" s="54"/>
      <c r="P106" s="90" t="s">
        <v>92</v>
      </c>
      <c r="Q106" s="85"/>
      <c r="S106" s="90" t="s">
        <v>92</v>
      </c>
      <c r="T106" s="85"/>
      <c r="V106" s="90" t="s">
        <v>92</v>
      </c>
    </row>
    <row r="107" spans="1:22" ht="33" customHeight="1">
      <c r="A107" s="160"/>
      <c r="C107" s="84"/>
      <c r="D107" s="90" t="s">
        <v>29</v>
      </c>
      <c r="F107" s="110"/>
      <c r="G107" s="90" t="s">
        <v>29</v>
      </c>
      <c r="H107" s="123" t="s">
        <v>196</v>
      </c>
      <c r="I107" s="54"/>
      <c r="J107" s="90" t="s">
        <v>29</v>
      </c>
      <c r="K107" s="125" t="s">
        <v>144</v>
      </c>
      <c r="L107" s="54"/>
      <c r="M107" s="90" t="s">
        <v>29</v>
      </c>
      <c r="N107" s="121" t="s">
        <v>121</v>
      </c>
      <c r="O107" s="110"/>
      <c r="P107" s="90" t="s">
        <v>29</v>
      </c>
      <c r="Q107" s="96"/>
      <c r="S107" s="90" t="s">
        <v>29</v>
      </c>
      <c r="T107" s="85"/>
      <c r="V107" s="90" t="s">
        <v>29</v>
      </c>
    </row>
    <row r="108" spans="1:22" ht="45" customHeight="1">
      <c r="A108" s="160"/>
      <c r="C108" s="84"/>
      <c r="D108" s="90" t="s">
        <v>30</v>
      </c>
      <c r="E108" s="131" t="s">
        <v>185</v>
      </c>
      <c r="F108" s="54"/>
      <c r="G108" s="90" t="s">
        <v>30</v>
      </c>
      <c r="H108" s="131" t="s">
        <v>185</v>
      </c>
      <c r="I108" s="54"/>
      <c r="J108" s="90" t="s">
        <v>30</v>
      </c>
      <c r="K108" s="131" t="s">
        <v>185</v>
      </c>
      <c r="L108" s="54"/>
      <c r="M108" s="90" t="s">
        <v>30</v>
      </c>
      <c r="N108" s="131" t="s">
        <v>185</v>
      </c>
      <c r="O108" s="110"/>
      <c r="P108" s="90" t="s">
        <v>30</v>
      </c>
      <c r="Q108" s="131" t="s">
        <v>185</v>
      </c>
      <c r="S108" s="90" t="s">
        <v>30</v>
      </c>
      <c r="T108" s="131" t="s">
        <v>185</v>
      </c>
      <c r="V108" s="90" t="s">
        <v>30</v>
      </c>
    </row>
    <row r="109" spans="1:22" ht="48" customHeight="1">
      <c r="A109" s="160"/>
      <c r="D109" s="90" t="s">
        <v>93</v>
      </c>
      <c r="E109" s="125" t="s">
        <v>141</v>
      </c>
      <c r="F109" s="54"/>
      <c r="G109" s="90" t="s">
        <v>93</v>
      </c>
      <c r="H109" s="116" t="s">
        <v>210</v>
      </c>
      <c r="I109" s="110"/>
      <c r="J109" s="90" t="s">
        <v>93</v>
      </c>
      <c r="K109" s="125" t="s">
        <v>144</v>
      </c>
      <c r="L109" s="54"/>
      <c r="M109" s="90" t="s">
        <v>93</v>
      </c>
      <c r="N109" s="121" t="s">
        <v>121</v>
      </c>
      <c r="O109" s="54"/>
      <c r="P109" s="90" t="s">
        <v>93</v>
      </c>
      <c r="S109" s="90" t="s">
        <v>93</v>
      </c>
      <c r="V109" s="90" t="s">
        <v>93</v>
      </c>
    </row>
    <row r="110" spans="1:22" ht="51.75" customHeight="1">
      <c r="A110" s="89"/>
      <c r="B110" s="91"/>
      <c r="D110" s="90" t="s">
        <v>94</v>
      </c>
      <c r="E110" s="85"/>
      <c r="F110" s="90"/>
      <c r="G110" s="90" t="s">
        <v>94</v>
      </c>
      <c r="H110" s="86"/>
      <c r="I110" s="90"/>
      <c r="J110" s="90" t="s">
        <v>94</v>
      </c>
      <c r="K110" s="101"/>
      <c r="L110" s="90"/>
      <c r="M110" s="90" t="s">
        <v>94</v>
      </c>
      <c r="O110" s="90"/>
      <c r="P110" s="90" t="s">
        <v>94</v>
      </c>
      <c r="Q110" s="90"/>
      <c r="R110" s="90"/>
      <c r="S110" s="90" t="s">
        <v>94</v>
      </c>
      <c r="T110" s="90"/>
      <c r="U110" s="90"/>
      <c r="V110" s="90" t="s">
        <v>94</v>
      </c>
    </row>
    <row r="111" spans="1:22" ht="51.75" customHeight="1">
      <c r="A111" s="143"/>
      <c r="B111" s="91"/>
      <c r="D111" s="144"/>
      <c r="E111" s="85"/>
      <c r="F111" s="144"/>
      <c r="G111" s="144" t="s">
        <v>186</v>
      </c>
      <c r="H111" s="86"/>
      <c r="I111" s="144"/>
      <c r="J111" s="144" t="s">
        <v>186</v>
      </c>
      <c r="K111" s="101"/>
      <c r="L111" s="144"/>
      <c r="M111" s="144" t="s">
        <v>186</v>
      </c>
      <c r="O111" s="144"/>
      <c r="P111" s="144" t="s">
        <v>186</v>
      </c>
      <c r="Q111" s="144"/>
      <c r="R111" s="144"/>
      <c r="S111" s="144" t="s">
        <v>186</v>
      </c>
      <c r="T111" s="144"/>
      <c r="U111" s="144"/>
      <c r="V111" s="144"/>
    </row>
    <row r="112" spans="1:22" s="78" customFormat="1" ht="19.5" customHeight="1">
      <c r="A112" s="80"/>
      <c r="B112" s="75" t="s">
        <v>99</v>
      </c>
      <c r="C112" s="75"/>
      <c r="D112" s="75"/>
      <c r="E112" s="75" t="s">
        <v>100</v>
      </c>
      <c r="F112" s="75"/>
      <c r="G112" s="75"/>
      <c r="H112" s="75" t="s">
        <v>101</v>
      </c>
      <c r="I112" s="75"/>
      <c r="J112" s="75"/>
      <c r="K112" s="76" t="s">
        <v>102</v>
      </c>
      <c r="L112" s="75"/>
      <c r="M112" s="75"/>
      <c r="N112" s="76" t="s">
        <v>103</v>
      </c>
      <c r="O112" s="75"/>
      <c r="P112" s="75"/>
      <c r="Q112" s="77" t="s">
        <v>104</v>
      </c>
      <c r="R112" s="75"/>
      <c r="S112" s="75"/>
      <c r="T112" s="76" t="s">
        <v>105</v>
      </c>
      <c r="U112" s="75"/>
      <c r="V112" s="75"/>
    </row>
    <row r="113" spans="1:22" ht="82.5" customHeight="1">
      <c r="A113" s="154" t="s">
        <v>82</v>
      </c>
      <c r="C113" s="84"/>
      <c r="D113" s="90"/>
      <c r="E113" s="108" t="s">
        <v>146</v>
      </c>
      <c r="F113" s="54"/>
      <c r="G113" s="90"/>
      <c r="H113" s="108" t="s">
        <v>222</v>
      </c>
      <c r="I113" s="54"/>
      <c r="J113" s="90"/>
      <c r="K113" s="108" t="s">
        <v>145</v>
      </c>
      <c r="L113" s="54"/>
      <c r="M113" s="90"/>
      <c r="N113" s="92" t="s">
        <v>221</v>
      </c>
      <c r="O113" s="54"/>
      <c r="P113" s="90"/>
      <c r="Q113" s="108" t="s">
        <v>97</v>
      </c>
      <c r="S113" s="90"/>
      <c r="V113" s="90" t="s">
        <v>95</v>
      </c>
    </row>
    <row r="114" spans="1:22" s="78" customFormat="1" ht="19.5" customHeight="1">
      <c r="A114" s="153" t="s">
        <v>83</v>
      </c>
      <c r="B114" s="75" t="s">
        <v>99</v>
      </c>
      <c r="C114" s="75"/>
      <c r="D114" s="75"/>
      <c r="E114" s="75" t="s">
        <v>100</v>
      </c>
      <c r="F114" s="75"/>
      <c r="G114" s="75"/>
      <c r="H114" s="75" t="s">
        <v>101</v>
      </c>
      <c r="I114" s="75"/>
      <c r="J114" s="75"/>
      <c r="K114" s="76" t="s">
        <v>102</v>
      </c>
      <c r="L114" s="75"/>
      <c r="M114" s="75"/>
      <c r="N114" s="76" t="s">
        <v>103</v>
      </c>
      <c r="O114" s="75"/>
      <c r="P114" s="75"/>
      <c r="Q114" s="77" t="s">
        <v>104</v>
      </c>
      <c r="R114" s="75"/>
      <c r="S114" s="75"/>
      <c r="T114" s="76" t="s">
        <v>105</v>
      </c>
      <c r="U114" s="75"/>
      <c r="V114" s="75"/>
    </row>
    <row r="115" spans="1:22" ht="83.25" customHeight="1">
      <c r="A115" s="154"/>
      <c r="C115" s="84"/>
      <c r="D115" s="90"/>
      <c r="E115" s="108" t="s">
        <v>197</v>
      </c>
      <c r="F115" s="54"/>
      <c r="G115" s="90"/>
      <c r="H115" s="108" t="s">
        <v>220</v>
      </c>
      <c r="I115" s="54"/>
      <c r="J115" s="90"/>
      <c r="K115" s="108" t="s">
        <v>98</v>
      </c>
      <c r="L115" s="54"/>
      <c r="M115" s="90"/>
      <c r="N115" s="108" t="s">
        <v>219</v>
      </c>
      <c r="O115" s="54"/>
      <c r="P115" s="90"/>
      <c r="Q115" s="108" t="s">
        <v>223</v>
      </c>
      <c r="S115" s="90"/>
      <c r="V115" s="90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5:A109"/>
    <mergeCell ref="B2:V3"/>
    <mergeCell ref="A5:A20"/>
    <mergeCell ref="A23:A37"/>
    <mergeCell ref="A41:A55"/>
    <mergeCell ref="A59:A73"/>
    <mergeCell ref="A77:A91"/>
  </mergeCells>
  <printOptions gridLines="1" horizontalCentered="1" verticalCentered="1"/>
  <pageMargins left="0" right="0" top="0.15748031496062992" bottom="0" header="0.03937007874015748" footer="0"/>
  <pageSetup fitToHeight="1" fitToWidth="1" horizontalDpi="600" verticalDpi="600" orientation="portrait" paperSize="9" scale="21" r:id="rId1"/>
  <rowBreaks count="3" manualBreakCount="3">
    <brk id="21" max="18" man="1"/>
    <brk id="57" max="18" man="1"/>
    <brk id="9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PageLayoutView="0" workbookViewId="0" topLeftCell="A4">
      <selection activeCell="A3" sqref="A3"/>
    </sheetView>
  </sheetViews>
  <sheetFormatPr defaultColWidth="9.140625" defaultRowHeight="12.75"/>
  <cols>
    <col min="1" max="1" width="9.421875" style="0" customWidth="1"/>
    <col min="2" max="2" width="3.28125" style="0" customWidth="1"/>
    <col min="3" max="4" width="19.7109375" style="0" customWidth="1"/>
    <col min="5" max="5" width="30.421875" style="0" customWidth="1"/>
    <col min="6" max="7" width="19.7109375" style="0" customWidth="1"/>
    <col min="8" max="8" width="31.7109375" style="0" customWidth="1"/>
  </cols>
  <sheetData>
    <row r="1" spans="1:8" ht="13.5" thickBot="1">
      <c r="A1" s="27" t="s">
        <v>8</v>
      </c>
      <c r="C1" s="163"/>
      <c r="D1" s="163"/>
      <c r="E1" s="163"/>
      <c r="F1" s="163"/>
      <c r="G1" s="163"/>
      <c r="H1" s="163"/>
    </row>
    <row r="2" spans="1:8" ht="18" customHeight="1" thickTop="1">
      <c r="A2" s="1" t="s">
        <v>80</v>
      </c>
      <c r="B2" s="1"/>
      <c r="C2" s="164" t="str">
        <f>A2</f>
        <v>A 1.2</v>
      </c>
      <c r="D2" s="165"/>
      <c r="E2" s="165"/>
      <c r="F2" s="165"/>
      <c r="G2" s="165"/>
      <c r="H2" s="166"/>
    </row>
    <row r="3" spans="3:8" ht="45" customHeight="1" thickBot="1">
      <c r="C3" s="167"/>
      <c r="D3" s="168"/>
      <c r="E3" s="168"/>
      <c r="F3" s="168"/>
      <c r="G3" s="168"/>
      <c r="H3" s="169"/>
    </row>
    <row r="4" spans="3:8" ht="32.25" customHeight="1" thickBot="1" thickTop="1">
      <c r="C4" s="58"/>
      <c r="D4" s="59" t="s">
        <v>3</v>
      </c>
      <c r="E4" s="60" t="s">
        <v>4</v>
      </c>
      <c r="F4" s="59" t="s">
        <v>5</v>
      </c>
      <c r="G4" s="61" t="s">
        <v>6</v>
      </c>
      <c r="H4" s="62" t="s">
        <v>7</v>
      </c>
    </row>
    <row r="5" spans="3:30" ht="19.5" thickTop="1">
      <c r="C5" s="172" t="s">
        <v>12</v>
      </c>
      <c r="D5" s="63">
        <f>IF(ISERROR(Z5),"",Z5)</f>
      </c>
      <c r="E5" s="64">
        <f aca="true" t="shared" si="0" ref="E5:H20">IF(ISERROR(AA5),"",AA5)</f>
      </c>
      <c r="F5" s="63">
        <f t="shared" si="0"/>
      </c>
      <c r="G5" s="63">
        <f t="shared" si="0"/>
      </c>
      <c r="H5" s="65">
        <f t="shared" si="0"/>
      </c>
      <c r="I5" s="48"/>
      <c r="Z5" s="2" t="e">
        <f>DGET(_mon1,"code",criteria2)</f>
        <v>#VALUE!</v>
      </c>
      <c r="AA5" s="2" t="e">
        <f>DGET(_tue1,"code",criteria2)</f>
        <v>#VALUE!</v>
      </c>
      <c r="AB5" s="2" t="e">
        <f>DGET(_wed1,"code",criteria2)</f>
        <v>#VALUE!</v>
      </c>
      <c r="AC5" s="2" t="e">
        <f>DGET(_thu1,"code",criteria2)</f>
        <v>#VALUE!</v>
      </c>
      <c r="AD5" s="2" t="e">
        <f>DGET(_fri1,"code",criteria2)</f>
        <v>#REF!</v>
      </c>
    </row>
    <row r="6" spans="3:30" ht="18.75">
      <c r="C6" s="171"/>
      <c r="D6" s="66">
        <f aca="true" t="shared" si="1" ref="D6:D21">IF(ISERROR(Z6),"",Z6)</f>
      </c>
      <c r="E6" s="67">
        <f t="shared" si="0"/>
      </c>
      <c r="F6" s="66">
        <f t="shared" si="0"/>
      </c>
      <c r="G6" s="66">
        <f t="shared" si="0"/>
      </c>
      <c r="H6" s="68">
        <f t="shared" si="0"/>
      </c>
      <c r="Z6" s="2" t="e">
        <f>DGET(_mon1,"ins",criteria2)</f>
        <v>#VALUE!</v>
      </c>
      <c r="AA6" s="2" t="e">
        <f>DGET(_tue1,"ins",criteria2)</f>
        <v>#VALUE!</v>
      </c>
      <c r="AB6" s="2" t="e">
        <f>DGET(_wed1,"ins",criteria2)</f>
        <v>#VALUE!</v>
      </c>
      <c r="AC6" s="2" t="e">
        <f>DGET(_thu1,"ins",criteria2)</f>
        <v>#VALUE!</v>
      </c>
      <c r="AD6" s="2" t="e">
        <f>DGET(_fri1,"ins",criteria2)</f>
        <v>#REF!</v>
      </c>
    </row>
    <row r="7" spans="3:30" ht="18.75">
      <c r="C7" s="170" t="s">
        <v>13</v>
      </c>
      <c r="D7" s="69">
        <f t="shared" si="1"/>
      </c>
      <c r="E7" s="70">
        <f t="shared" si="0"/>
      </c>
      <c r="F7" s="69">
        <f t="shared" si="0"/>
      </c>
      <c r="G7" s="69">
        <f t="shared" si="0"/>
      </c>
      <c r="H7" s="71">
        <f t="shared" si="0"/>
      </c>
      <c r="Z7" s="2" t="e">
        <f>DGET(_mon2,"code",criteria2)</f>
        <v>#REF!</v>
      </c>
      <c r="AA7" s="2" t="e">
        <f>DGET(_tue2,"code",criteria2)</f>
        <v>#REF!</v>
      </c>
      <c r="AB7" s="2" t="e">
        <f>DGET(_wed2,"code",criteria2)</f>
        <v>#REF!</v>
      </c>
      <c r="AC7" s="2" t="e">
        <f>DGET(_thu2,"code",criteria2)</f>
        <v>#REF!</v>
      </c>
      <c r="AD7" s="2" t="e">
        <f>DGET(_fri2,"code",criteria2)</f>
        <v>#REF!</v>
      </c>
    </row>
    <row r="8" spans="3:30" ht="18.75">
      <c r="C8" s="171"/>
      <c r="D8" s="66">
        <f t="shared" si="1"/>
      </c>
      <c r="E8" s="67">
        <f t="shared" si="0"/>
      </c>
      <c r="F8" s="66">
        <f t="shared" si="0"/>
      </c>
      <c r="G8" s="66">
        <f t="shared" si="0"/>
      </c>
      <c r="H8" s="68">
        <f t="shared" si="0"/>
      </c>
      <c r="Z8" s="2" t="e">
        <f>DGET(_mon2,"ins",criteria2)</f>
        <v>#REF!</v>
      </c>
      <c r="AA8" s="2" t="e">
        <f>DGET(_tue2,"ins",criteria2)</f>
        <v>#REF!</v>
      </c>
      <c r="AB8" s="2" t="e">
        <f>DGET(_wed2,"ins",criteria2)</f>
        <v>#REF!</v>
      </c>
      <c r="AC8" s="2" t="e">
        <f>DGET(_thu2,"ins",criteria2)</f>
        <v>#REF!</v>
      </c>
      <c r="AD8" s="2" t="e">
        <f>DGET(_fri2,"ins",criteria2)</f>
        <v>#REF!</v>
      </c>
    </row>
    <row r="9" spans="3:30" ht="18.75">
      <c r="C9" s="170" t="s">
        <v>14</v>
      </c>
      <c r="D9" s="69">
        <f t="shared" si="1"/>
      </c>
      <c r="E9" s="70">
        <f t="shared" si="0"/>
      </c>
      <c r="F9" s="69">
        <f t="shared" si="0"/>
      </c>
      <c r="G9" s="69">
        <f t="shared" si="0"/>
      </c>
      <c r="H9" s="71">
        <f t="shared" si="0"/>
      </c>
      <c r="Z9" s="2" t="e">
        <f>DGET(_mon3,"code",criteria2)</f>
        <v>#VALUE!</v>
      </c>
      <c r="AA9" s="2" t="e">
        <f>DGET(_tue3,"code",criteria2)</f>
        <v>#VALUE!</v>
      </c>
      <c r="AB9" s="2" t="e">
        <f>DGET(_wed3,"code",criteria2)</f>
        <v>#VALUE!</v>
      </c>
      <c r="AC9" s="2" t="e">
        <f>DGET(_thu3,"code",criteria2)</f>
        <v>#VALUE!</v>
      </c>
      <c r="AD9" s="2" t="e">
        <f>DGET(_fri3,"code",criteria2)</f>
        <v>#REF!</v>
      </c>
    </row>
    <row r="10" spans="3:30" ht="18.75">
      <c r="C10" s="171"/>
      <c r="D10" s="66">
        <f t="shared" si="1"/>
      </c>
      <c r="E10" s="67">
        <f t="shared" si="0"/>
      </c>
      <c r="F10" s="66">
        <f t="shared" si="0"/>
      </c>
      <c r="G10" s="66">
        <f t="shared" si="0"/>
      </c>
      <c r="H10" s="68">
        <f t="shared" si="0"/>
      </c>
      <c r="Z10" s="2" t="e">
        <f>DGET(_mon3,"ins",criteria2)</f>
        <v>#VALUE!</v>
      </c>
      <c r="AA10" s="2" t="e">
        <f>DGET(_tue3,"ins",criteria2)</f>
        <v>#VALUE!</v>
      </c>
      <c r="AB10" s="2" t="e">
        <f>DGET(_wed3,"ins",criteria2)</f>
        <v>#VALUE!</v>
      </c>
      <c r="AC10" s="2" t="e">
        <f>DGET(_thu3,"ins",criteria2)</f>
        <v>#VALUE!</v>
      </c>
      <c r="AD10" s="2" t="e">
        <f>DGET(_fri3,"ins",criteria2)</f>
        <v>#REF!</v>
      </c>
    </row>
    <row r="11" spans="3:30" ht="18.75">
      <c r="C11" s="170" t="s">
        <v>10</v>
      </c>
      <c r="D11" s="69">
        <f t="shared" si="1"/>
      </c>
      <c r="E11" s="70">
        <f t="shared" si="0"/>
      </c>
      <c r="F11" s="69">
        <f t="shared" si="0"/>
      </c>
      <c r="G11" s="69">
        <f t="shared" si="0"/>
      </c>
      <c r="H11" s="71">
        <f t="shared" si="0"/>
      </c>
      <c r="Z11" s="2" t="e">
        <f>DGET(_mon4,"code",criteria2)</f>
        <v>#VALUE!</v>
      </c>
      <c r="AA11" s="2" t="e">
        <f>DGET(_tue4,"code",criteria2)</f>
        <v>#VALUE!</v>
      </c>
      <c r="AB11" s="2" t="e">
        <f>DGET(_wed4,"code",criteria2)</f>
        <v>#VALUE!</v>
      </c>
      <c r="AC11" s="2" t="e">
        <f>DGET(_thu4,"code",criteria2)</f>
        <v>#VALUE!</v>
      </c>
      <c r="AD11" s="2" t="e">
        <f>DGET(_fri4,"code",criteria2)</f>
        <v>#REF!</v>
      </c>
    </row>
    <row r="12" spans="3:30" ht="18.75">
      <c r="C12" s="171"/>
      <c r="D12" s="66">
        <f t="shared" si="1"/>
      </c>
      <c r="E12" s="67">
        <f t="shared" si="0"/>
      </c>
      <c r="F12" s="66">
        <f t="shared" si="0"/>
      </c>
      <c r="G12" s="66">
        <f t="shared" si="0"/>
      </c>
      <c r="H12" s="68">
        <f t="shared" si="0"/>
      </c>
      <c r="Z12" s="2" t="e">
        <f>DGET(_mon4,"ins",criteria2)</f>
        <v>#VALUE!</v>
      </c>
      <c r="AA12" s="2" t="e">
        <f>DGET(_tue4,"ins",criteria2)</f>
        <v>#VALUE!</v>
      </c>
      <c r="AB12" s="2" t="e">
        <f>DGET(_wed4,"ins",criteria2)</f>
        <v>#VALUE!</v>
      </c>
      <c r="AC12" s="2" t="e">
        <f>DGET(_thu4,"ins",criteria2)</f>
        <v>#VALUE!</v>
      </c>
      <c r="AD12" s="2" t="e">
        <f>DGET(_fri4,"ins",criteria2)</f>
        <v>#REF!</v>
      </c>
    </row>
    <row r="13" spans="3:30" ht="18.75">
      <c r="C13" s="170" t="s">
        <v>11</v>
      </c>
      <c r="D13" s="69">
        <f t="shared" si="1"/>
      </c>
      <c r="E13" s="70">
        <f t="shared" si="0"/>
      </c>
      <c r="F13" s="69">
        <f t="shared" si="0"/>
      </c>
      <c r="G13" s="69">
        <f t="shared" si="0"/>
      </c>
      <c r="H13" s="71">
        <f t="shared" si="0"/>
      </c>
      <c r="Z13" s="2" t="e">
        <f>DGET(_mon5,"code",criteria2)</f>
        <v>#VALUE!</v>
      </c>
      <c r="AA13" s="2" t="e">
        <f>DGET(_tue5,"code",criteria2)</f>
        <v>#VALUE!</v>
      </c>
      <c r="AB13" s="2" t="e">
        <f>DGET(_wed5,"code",criteria2)</f>
        <v>#VALUE!</v>
      </c>
      <c r="AC13" s="2" t="e">
        <f>DGET(_thu5,"code",criteria2)</f>
        <v>#VALUE!</v>
      </c>
      <c r="AD13" s="2" t="e">
        <f>DGET(_fri5,"code",criteria2)</f>
        <v>#REF!</v>
      </c>
    </row>
    <row r="14" spans="3:30" ht="18.75">
      <c r="C14" s="170"/>
      <c r="D14" s="66">
        <f t="shared" si="1"/>
      </c>
      <c r="E14" s="67">
        <f t="shared" si="0"/>
      </c>
      <c r="F14" s="66">
        <f t="shared" si="0"/>
      </c>
      <c r="G14" s="66">
        <f t="shared" si="0"/>
      </c>
      <c r="H14" s="68">
        <f t="shared" si="0"/>
      </c>
      <c r="Z14" s="2" t="e">
        <f>DGET(_mon5,"ins",criteria2)</f>
        <v>#VALUE!</v>
      </c>
      <c r="AA14" s="2" t="e">
        <f>DGET(_tue5,"ins",criteria2)</f>
        <v>#VALUE!</v>
      </c>
      <c r="AB14" s="2" t="e">
        <f>DGET(_wed5,"ins",criteria2)</f>
        <v>#VALUE!</v>
      </c>
      <c r="AC14" s="2" t="e">
        <f>DGET(_thu5,"ins",criteria2)</f>
        <v>#VALUE!</v>
      </c>
      <c r="AD14" s="2" t="e">
        <f>DGET(_fri5,"ins",criteria2)</f>
        <v>#REF!</v>
      </c>
    </row>
    <row r="15" spans="3:30" ht="18.75">
      <c r="C15" s="170" t="s">
        <v>15</v>
      </c>
      <c r="D15" s="69">
        <f t="shared" si="1"/>
      </c>
      <c r="E15" s="70">
        <f t="shared" si="0"/>
      </c>
      <c r="F15" s="69">
        <f t="shared" si="0"/>
      </c>
      <c r="G15" s="69">
        <f t="shared" si="0"/>
      </c>
      <c r="H15" s="71">
        <f t="shared" si="0"/>
      </c>
      <c r="Z15" s="2" t="e">
        <f>DGET(_mon6,"code",criteria2)</f>
        <v>#VALUE!</v>
      </c>
      <c r="AA15" s="2" t="e">
        <f>DGET(_tue6,"code",criteria2)</f>
        <v>#VALUE!</v>
      </c>
      <c r="AB15" s="2" t="e">
        <f>DGET(_wed6,"code",criteria2)</f>
        <v>#VALUE!</v>
      </c>
      <c r="AC15" s="2" t="e">
        <f>DGET(_thu6,"code",criteria2)</f>
        <v>#VALUE!</v>
      </c>
      <c r="AD15" s="2" t="e">
        <f>DGET(_fri6,"code",criteria2)</f>
        <v>#REF!</v>
      </c>
    </row>
    <row r="16" spans="3:30" ht="18.75">
      <c r="C16" s="171"/>
      <c r="D16" s="66">
        <f t="shared" si="1"/>
      </c>
      <c r="E16" s="67">
        <f t="shared" si="0"/>
      </c>
      <c r="F16" s="66">
        <f t="shared" si="0"/>
      </c>
      <c r="G16" s="66">
        <f t="shared" si="0"/>
      </c>
      <c r="H16" s="68">
        <f t="shared" si="0"/>
      </c>
      <c r="Z16" s="2" t="e">
        <f>DGET(_mon6,"ins",criteria2)</f>
        <v>#VALUE!</v>
      </c>
      <c r="AA16" s="2" t="e">
        <f>DGET(_tue6,"ins",criteria2)</f>
        <v>#VALUE!</v>
      </c>
      <c r="AB16" s="2" t="e">
        <f>DGET(_wed6,"ins",criteria2)</f>
        <v>#VALUE!</v>
      </c>
      <c r="AC16" s="2" t="e">
        <f>DGET(_thu6,"ins",criteria2)</f>
        <v>#VALUE!</v>
      </c>
      <c r="AD16" s="2" t="e">
        <f>DGET(_fri6,"ins",criteria2)</f>
        <v>#REF!</v>
      </c>
    </row>
    <row r="17" spans="3:30" ht="18.75">
      <c r="C17" s="170" t="s">
        <v>16</v>
      </c>
      <c r="D17" s="69">
        <f t="shared" si="1"/>
      </c>
      <c r="E17" s="70">
        <f t="shared" si="0"/>
      </c>
      <c r="F17" s="69">
        <f t="shared" si="0"/>
      </c>
      <c r="G17" s="69">
        <f t="shared" si="0"/>
      </c>
      <c r="H17" s="71">
        <f t="shared" si="0"/>
      </c>
      <c r="Z17" s="2" t="e">
        <f>DGET(_mon7,"code",criteria2)</f>
        <v>#VALUE!</v>
      </c>
      <c r="AA17" s="2" t="e">
        <f>DGET(_tue7,"code",criteria2)</f>
        <v>#VALUE!</v>
      </c>
      <c r="AB17" s="2" t="e">
        <f>DGET(_wed7,"code",criteria2)</f>
        <v>#VALUE!</v>
      </c>
      <c r="AC17" s="2" t="e">
        <f>DGET(_thu7,"code",criteria2)</f>
        <v>#VALUE!</v>
      </c>
      <c r="AD17" s="2" t="e">
        <f>DGET(_fri7,"code",criteria2)</f>
        <v>#REF!</v>
      </c>
    </row>
    <row r="18" spans="3:30" ht="18.75">
      <c r="C18" s="171"/>
      <c r="D18" s="66">
        <f t="shared" si="1"/>
      </c>
      <c r="E18" s="67">
        <f t="shared" si="0"/>
      </c>
      <c r="F18" s="66">
        <f t="shared" si="0"/>
      </c>
      <c r="G18" s="66">
        <f t="shared" si="0"/>
      </c>
      <c r="H18" s="68">
        <f t="shared" si="0"/>
      </c>
      <c r="Z18" s="2" t="e">
        <f>DGET(_mon7,"ins",criteria2)</f>
        <v>#VALUE!</v>
      </c>
      <c r="AA18" s="2" t="e">
        <f>DGET(_tue7,"ins",criteria2)</f>
        <v>#VALUE!</v>
      </c>
      <c r="AB18" s="2" t="e">
        <f>DGET(_wed7,"ins",criteria2)</f>
        <v>#VALUE!</v>
      </c>
      <c r="AC18" s="2" t="e">
        <f>DGET(_thu7,"ins",criteria2)</f>
        <v>#VALUE!</v>
      </c>
      <c r="AD18" s="2" t="e">
        <f>DGET(_fri7,"ins",criteria2)</f>
        <v>#REF!</v>
      </c>
    </row>
    <row r="19" spans="3:30" ht="18.75">
      <c r="C19" s="170" t="s">
        <v>17</v>
      </c>
      <c r="D19" s="69">
        <f t="shared" si="1"/>
      </c>
      <c r="E19" s="70">
        <f t="shared" si="0"/>
      </c>
      <c r="F19" s="69">
        <f t="shared" si="0"/>
      </c>
      <c r="G19" s="69">
        <f t="shared" si="0"/>
      </c>
      <c r="H19" s="71">
        <f t="shared" si="0"/>
      </c>
      <c r="Z19" s="2" t="e">
        <f>DGET(_mon8,"code",criteria2)</f>
        <v>#VALUE!</v>
      </c>
      <c r="AA19" s="2" t="e">
        <f>DGET(_tue8,"code",criteria2)</f>
        <v>#VALUE!</v>
      </c>
      <c r="AB19" s="2" t="e">
        <f>DGET(_wed8,"code",criteria2)</f>
        <v>#VALUE!</v>
      </c>
      <c r="AC19" s="2" t="e">
        <f>DGET(_thu8,"code",criteria2)</f>
        <v>#VALUE!</v>
      </c>
      <c r="AD19" s="2" t="e">
        <f>DGET(_fri8,"code",criteria2)</f>
        <v>#REF!</v>
      </c>
    </row>
    <row r="20" spans="3:30" ht="18.75">
      <c r="C20" s="171"/>
      <c r="D20" s="66">
        <f t="shared" si="1"/>
      </c>
      <c r="E20" s="67">
        <f t="shared" si="0"/>
      </c>
      <c r="F20" s="66">
        <f t="shared" si="0"/>
      </c>
      <c r="G20" s="66">
        <f t="shared" si="0"/>
      </c>
      <c r="H20" s="68">
        <f t="shared" si="0"/>
      </c>
      <c r="Z20" s="2" t="e">
        <f>DGET(_mon8,"ins",criteria2)</f>
        <v>#VALUE!</v>
      </c>
      <c r="AA20" s="2" t="e">
        <f>DGET(_tue8,"ins",criteria2)</f>
        <v>#VALUE!</v>
      </c>
      <c r="AB20" s="2" t="e">
        <f>DGET(_wed8,"ins",criteria2)</f>
        <v>#VALUE!</v>
      </c>
      <c r="AC20" s="2" t="e">
        <f>DGET(_thu8,"ins",criteria2)</f>
        <v>#VALUE!</v>
      </c>
      <c r="AD20" s="2" t="e">
        <f>DGET(_fri8,"ins",criteria2)</f>
        <v>#REF!</v>
      </c>
    </row>
    <row r="21" spans="3:30" ht="18.75">
      <c r="C21" s="170" t="s">
        <v>18</v>
      </c>
      <c r="D21" s="69">
        <f t="shared" si="1"/>
      </c>
      <c r="E21" s="70">
        <f aca="true" t="shared" si="2" ref="E21:H26">IF(ISERROR(AA21),"",AA21)</f>
      </c>
      <c r="F21" s="69">
        <f t="shared" si="2"/>
      </c>
      <c r="G21" s="69">
        <f t="shared" si="2"/>
      </c>
      <c r="H21" s="71">
        <f t="shared" si="2"/>
      </c>
      <c r="Z21" s="2" t="e">
        <f>DGET(_mon9,"code",criteria2)</f>
        <v>#VALUE!</v>
      </c>
      <c r="AA21" s="2" t="e">
        <f>DGET(_tue9,"code",criteria2)</f>
        <v>#VALUE!</v>
      </c>
      <c r="AB21" s="2" t="e">
        <f>DGET(_wed9,"code",criteria2)</f>
        <v>#VALUE!</v>
      </c>
      <c r="AC21" s="2" t="e">
        <f>DGET(_thu9,"code",criteria2)</f>
        <v>#VALUE!</v>
      </c>
      <c r="AD21" s="2" t="e">
        <f>DGET(_fri9,"code",criteria2)</f>
        <v>#REF!</v>
      </c>
    </row>
    <row r="22" spans="3:30" ht="18.75">
      <c r="C22" s="176"/>
      <c r="D22" s="63">
        <f aca="true" t="shared" si="3" ref="D22:D28">IF(ISERROR(Z22),"",Z22)</f>
      </c>
      <c r="E22" s="64">
        <f t="shared" si="2"/>
      </c>
      <c r="F22" s="63">
        <f t="shared" si="2"/>
      </c>
      <c r="G22" s="63">
        <f t="shared" si="2"/>
      </c>
      <c r="H22" s="65">
        <f t="shared" si="2"/>
      </c>
      <c r="Z22" s="2" t="e">
        <f>DGET(_mon9,"ins",criteria2)</f>
        <v>#VALUE!</v>
      </c>
      <c r="AA22" s="2" t="e">
        <f>DGET(_tue9,"ins",criteria2)</f>
        <v>#VALUE!</v>
      </c>
      <c r="AB22" s="2" t="e">
        <f>DGET(_wed9,"ins",criteria2)</f>
        <v>#VALUE!</v>
      </c>
      <c r="AC22" s="2" t="e">
        <f>DGET(_thu9,"ins",criteria2)</f>
        <v>#VALUE!</v>
      </c>
      <c r="AD22" s="2" t="e">
        <f>DGET(_fri9,"ins",criteria2)</f>
        <v>#REF!</v>
      </c>
    </row>
    <row r="23" spans="3:30" ht="18.75">
      <c r="C23" s="173" t="s">
        <v>19</v>
      </c>
      <c r="D23" s="69">
        <f t="shared" si="3"/>
      </c>
      <c r="E23" s="70">
        <f t="shared" si="2"/>
      </c>
      <c r="F23" s="69">
        <f t="shared" si="2"/>
      </c>
      <c r="G23" s="69">
        <f t="shared" si="2"/>
      </c>
      <c r="H23" s="71">
        <f t="shared" si="2"/>
      </c>
      <c r="Z23" s="2" t="e">
        <f>DGET(_mon10,"code",criteria2)</f>
        <v>#REF!</v>
      </c>
      <c r="AA23" s="2" t="e">
        <f>DGET(_tue10,"code",criteria2)</f>
        <v>#REF!</v>
      </c>
      <c r="AB23" s="2" t="e">
        <f>DGET(_wed10,"code",criteria2)</f>
        <v>#REF!</v>
      </c>
      <c r="AC23" s="2" t="e">
        <f>DGET(_thu10,"code",criteria2)</f>
        <v>#REF!</v>
      </c>
      <c r="AD23" s="2" t="e">
        <f>DGET(_fri10,"code",criteria2)</f>
        <v>#REF!</v>
      </c>
    </row>
    <row r="24" spans="3:30" ht="18.75">
      <c r="C24" s="174"/>
      <c r="D24" s="66">
        <f t="shared" si="3"/>
      </c>
      <c r="E24" s="67">
        <f t="shared" si="2"/>
      </c>
      <c r="F24" s="66">
        <f t="shared" si="2"/>
      </c>
      <c r="G24" s="66">
        <f t="shared" si="2"/>
      </c>
      <c r="H24" s="68">
        <f t="shared" si="2"/>
      </c>
      <c r="Z24" s="2" t="e">
        <f>DGET(_mon10,"ins",criteria2)</f>
        <v>#REF!</v>
      </c>
      <c r="AA24" s="2" t="e">
        <f>DGET(_tue10,"ins",criteria2)</f>
        <v>#REF!</v>
      </c>
      <c r="AB24" s="2" t="e">
        <f>DGET(_wed10,"ins",criteria2)</f>
        <v>#REF!</v>
      </c>
      <c r="AC24" s="2" t="e">
        <f>DGET(_thu10,"ins",criteria2)</f>
        <v>#REF!</v>
      </c>
      <c r="AD24" s="2" t="e">
        <f>DGET(_fri10,"ins",criteria2)</f>
        <v>#REF!</v>
      </c>
    </row>
    <row r="25" spans="3:30" ht="18.75">
      <c r="C25" s="170" t="s">
        <v>20</v>
      </c>
      <c r="D25" s="69">
        <f t="shared" si="3"/>
      </c>
      <c r="E25" s="70">
        <f t="shared" si="2"/>
      </c>
      <c r="F25" s="69">
        <f t="shared" si="2"/>
      </c>
      <c r="G25" s="69">
        <f t="shared" si="2"/>
      </c>
      <c r="H25" s="71">
        <f t="shared" si="2"/>
      </c>
      <c r="Z25" s="2" t="e">
        <f>DGET(_mon11,"code",criteria2)</f>
        <v>#REF!</v>
      </c>
      <c r="AA25" s="2" t="e">
        <f>DGET(_tue11,"code",criteria2)</f>
        <v>#REF!</v>
      </c>
      <c r="AB25" s="2" t="e">
        <f>DGET(_wed11,"code",criteria2)</f>
        <v>#REF!</v>
      </c>
      <c r="AC25" s="2" t="e">
        <f>DGET(_thu11,"code",criteria2)</f>
        <v>#REF!</v>
      </c>
      <c r="AD25" s="2" t="e">
        <f>DGET(_fri11,"code",criteria2)</f>
        <v>#REF!</v>
      </c>
    </row>
    <row r="26" spans="3:30" ht="19.5" thickBot="1">
      <c r="C26" s="175"/>
      <c r="D26" s="66">
        <f t="shared" si="3"/>
      </c>
      <c r="E26" s="67">
        <f t="shared" si="2"/>
      </c>
      <c r="F26" s="66">
        <f t="shared" si="2"/>
      </c>
      <c r="G26" s="66">
        <f t="shared" si="2"/>
      </c>
      <c r="H26" s="68">
        <f t="shared" si="2"/>
      </c>
      <c r="Z26" s="2" t="e">
        <f>DGET(_mon11,"ins",criteria2)</f>
        <v>#REF!</v>
      </c>
      <c r="AA26" s="2" t="e">
        <f>DGET(_tue11,"ins",criteria2)</f>
        <v>#REF!</v>
      </c>
      <c r="AB26" s="2" t="e">
        <f>DGET(_wed11,"ins",criteria2)</f>
        <v>#REF!</v>
      </c>
      <c r="AC26" s="2" t="e">
        <f>DGET(_thu11,"ins",criteria2)</f>
        <v>#REF!</v>
      </c>
      <c r="AD26" s="2" t="e">
        <f>DGET(_fri11,"ins",criteria2)</f>
        <v>#REF!</v>
      </c>
    </row>
    <row r="27" spans="3:30" ht="19.5" thickTop="1">
      <c r="C27" s="170" t="s">
        <v>21</v>
      </c>
      <c r="D27" s="69">
        <f t="shared" si="3"/>
      </c>
      <c r="E27" s="70">
        <f aca="true" t="shared" si="4" ref="E27:H28">IF(ISERROR(AA27),"",AA27)</f>
      </c>
      <c r="F27" s="69">
        <f t="shared" si="4"/>
      </c>
      <c r="G27" s="69">
        <f t="shared" si="4"/>
      </c>
      <c r="H27" s="71">
        <f t="shared" si="4"/>
      </c>
      <c r="Z27" s="2" t="e">
        <f>DGET(_mon12,"code",criteria2)</f>
        <v>#REF!</v>
      </c>
      <c r="AA27" s="2" t="e">
        <f>DGET(_tue12,"code",criteria2)</f>
        <v>#REF!</v>
      </c>
      <c r="AB27" s="2" t="e">
        <f>DGET(_wed12,"code",criteria2)</f>
        <v>#REF!</v>
      </c>
      <c r="AC27" s="2" t="e">
        <f>DGET(_thu12,"code",criteria2)</f>
        <v>#REF!</v>
      </c>
      <c r="AD27" s="2" t="e">
        <f>DGET(_fri12,"code",criteria2)</f>
        <v>#REF!</v>
      </c>
    </row>
    <row r="28" spans="3:30" ht="19.5" thickBot="1">
      <c r="C28" s="175"/>
      <c r="D28" s="72">
        <f t="shared" si="3"/>
      </c>
      <c r="E28" s="73">
        <f t="shared" si="4"/>
      </c>
      <c r="F28" s="72">
        <f t="shared" si="4"/>
      </c>
      <c r="G28" s="72">
        <f t="shared" si="4"/>
      </c>
      <c r="H28" s="74">
        <f t="shared" si="4"/>
      </c>
      <c r="Z28" s="2" t="e">
        <f>DGET(_mon12,"ins",criteria2)</f>
        <v>#REF!</v>
      </c>
      <c r="AA28" s="2" t="e">
        <f>DGET(_tue12,"ins",criteria2)</f>
        <v>#REF!</v>
      </c>
      <c r="AB28" s="2" t="e">
        <f>DGET(_wed12,"ins",criteria2)</f>
        <v>#REF!</v>
      </c>
      <c r="AC28" s="2" t="e">
        <f>DGET(_thu12,"ins",criteria2)</f>
        <v>#REF!</v>
      </c>
      <c r="AD28" s="2" t="e">
        <f>DGET(_fri12,"ins",criteria2)</f>
        <v>#REF!</v>
      </c>
    </row>
    <row r="29" spans="3:6" ht="13.5" thickTop="1">
      <c r="C29" s="28"/>
      <c r="F29" s="28"/>
    </row>
    <row r="30" spans="3:6" ht="12.75">
      <c r="C30" s="28"/>
      <c r="F30" s="28"/>
    </row>
    <row r="31" spans="3:6" ht="12.75">
      <c r="C31" s="28"/>
      <c r="F31" s="28"/>
    </row>
    <row r="32" ht="12.75">
      <c r="C32" s="28"/>
    </row>
  </sheetData>
  <sheetProtection/>
  <mergeCells count="14">
    <mergeCell ref="C23:C24"/>
    <mergeCell ref="C25:C26"/>
    <mergeCell ref="C27:C28"/>
    <mergeCell ref="C11:C12"/>
    <mergeCell ref="C21:C22"/>
    <mergeCell ref="C19:C20"/>
    <mergeCell ref="C17:C18"/>
    <mergeCell ref="C1:H1"/>
    <mergeCell ref="C2:H3"/>
    <mergeCell ref="C13:C14"/>
    <mergeCell ref="C15:C16"/>
    <mergeCell ref="C5:C6"/>
    <mergeCell ref="C7:C8"/>
    <mergeCell ref="C9:C10"/>
  </mergeCells>
  <printOptions/>
  <pageMargins left="0.7480314960629921" right="0.7480314960629921" top="1.7716535433070868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&amp;C&amp;"Arial,Kalın"&amp;36GIRNE AMERICAN UNIVERSITY&amp;14
&amp;"Arial,Normal"&amp;28TECHNOPARK BUILDING&amp;14
&amp;"Arial,Kalın"&amp;18 2014-2015 SUMMER LECTURE ROOM TIME TABLE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7" sqref="A7"/>
    </sheetView>
  </sheetViews>
  <sheetFormatPr defaultColWidth="9.7109375" defaultRowHeight="12.75"/>
  <cols>
    <col min="1" max="1" width="9.7109375" style="2" customWidth="1"/>
    <col min="2" max="2" width="11.421875" style="2" customWidth="1"/>
    <col min="3" max="3" width="9.7109375" style="2" customWidth="1"/>
    <col min="4" max="4" width="12.7109375" style="2" customWidth="1"/>
    <col min="5" max="5" width="16.00390625" style="2" customWidth="1"/>
    <col min="6" max="6" width="12.7109375" style="2" customWidth="1"/>
    <col min="7" max="7" width="15.140625" style="2" customWidth="1"/>
    <col min="8" max="8" width="15.7109375" style="2" customWidth="1"/>
    <col min="9" max="12" width="9.7109375" style="2" customWidth="1"/>
    <col min="13" max="13" width="9.7109375" style="7" customWidth="1"/>
    <col min="14" max="16384" width="9.7109375" style="2" customWidth="1"/>
  </cols>
  <sheetData>
    <row r="1" spans="1:8" ht="23.25" customHeight="1">
      <c r="A1" s="4" t="s">
        <v>1</v>
      </c>
      <c r="C1" s="179"/>
      <c r="D1" s="180"/>
      <c r="E1" s="180"/>
      <c r="F1" s="180"/>
      <c r="G1" s="180"/>
      <c r="H1" s="181"/>
    </row>
    <row r="2" spans="1:8" ht="12.75">
      <c r="A2" s="4">
        <v>7</v>
      </c>
      <c r="C2" s="8"/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</row>
    <row r="3" spans="1:8" ht="12.75">
      <c r="A3" s="4">
        <v>7</v>
      </c>
      <c r="C3" s="182">
        <v>0.375</v>
      </c>
      <c r="D3" s="18">
        <f aca="true" t="shared" si="0" ref="D3:D20">IF(ISERROR(K31),IF(ERROR.TYPE(K31)=3,"","Clash"),K31)</f>
      </c>
      <c r="E3" s="18">
        <f aca="true" t="shared" si="1" ref="E3:E20">IF(ISERROR(L31),IF(ERROR.TYPE(L31)=3,"","Clash"),L31)</f>
      </c>
      <c r="F3" s="18">
        <f aca="true" t="shared" si="2" ref="F3:F20">IF(ISERROR(M31),IF(ERROR.TYPE(M31)=3,"","Clash"),M31)</f>
      </c>
      <c r="G3" s="18">
        <f aca="true" t="shared" si="3" ref="G3:G20">IF(ISERROR(N31),IF(ERROR.TYPE(N31)=3,"","Clash"),N31)</f>
      </c>
      <c r="H3" s="18" t="str">
        <f aca="true" t="shared" si="4" ref="H3:H20">IF(ISERROR(O31),IF(ERROR.TYPE(O31)=3,"","Clash"),O31)</f>
        <v>Clash</v>
      </c>
    </row>
    <row r="4" spans="1:8" ht="12.75">
      <c r="A4" s="5">
        <v>7</v>
      </c>
      <c r="C4" s="183"/>
      <c r="D4" s="19">
        <f t="shared" si="0"/>
      </c>
      <c r="E4" s="19">
        <f t="shared" si="1"/>
      </c>
      <c r="F4" s="19">
        <f t="shared" si="2"/>
      </c>
      <c r="G4" s="19">
        <f t="shared" si="3"/>
      </c>
      <c r="H4" s="19" t="str">
        <f t="shared" si="4"/>
        <v>Clash</v>
      </c>
    </row>
    <row r="5" spans="1:8" ht="12.75">
      <c r="A5" s="4">
        <v>7</v>
      </c>
      <c r="C5" s="182">
        <v>0.4166666666666667</v>
      </c>
      <c r="D5" s="18" t="str">
        <f t="shared" si="0"/>
        <v>Clash</v>
      </c>
      <c r="E5" s="18" t="str">
        <f t="shared" si="1"/>
        <v>Clash</v>
      </c>
      <c r="F5" s="18" t="str">
        <f t="shared" si="2"/>
        <v>Clash</v>
      </c>
      <c r="G5" s="18" t="str">
        <f t="shared" si="3"/>
        <v>Clash</v>
      </c>
      <c r="H5" s="18" t="str">
        <f t="shared" si="4"/>
        <v>Clash</v>
      </c>
    </row>
    <row r="6" spans="1:8" ht="12.75">
      <c r="A6" s="5" t="s">
        <v>79</v>
      </c>
      <c r="C6" s="183"/>
      <c r="D6" s="19" t="str">
        <f t="shared" si="0"/>
        <v>Clash</v>
      </c>
      <c r="E6" s="19" t="str">
        <f t="shared" si="1"/>
        <v>Clash</v>
      </c>
      <c r="F6" s="19" t="str">
        <f t="shared" si="2"/>
        <v>Clash</v>
      </c>
      <c r="G6" s="19" t="str">
        <f t="shared" si="3"/>
        <v>Clash</v>
      </c>
      <c r="H6" s="19" t="str">
        <f t="shared" si="4"/>
        <v>Clash</v>
      </c>
    </row>
    <row r="7" spans="1:8" ht="12.75">
      <c r="A7" s="5" t="s">
        <v>78</v>
      </c>
      <c r="C7" s="182">
        <v>0.458333333333333</v>
      </c>
      <c r="D7" s="18">
        <f t="shared" si="0"/>
      </c>
      <c r="E7" s="18">
        <f t="shared" si="1"/>
      </c>
      <c r="F7" s="18">
        <f t="shared" si="2"/>
      </c>
      <c r="G7" s="18">
        <f t="shared" si="3"/>
      </c>
      <c r="H7" s="18" t="str">
        <f t="shared" si="4"/>
        <v>Clash</v>
      </c>
    </row>
    <row r="8" spans="1:8" ht="12.75">
      <c r="A8" s="5">
        <v>7</v>
      </c>
      <c r="C8" s="183"/>
      <c r="D8" s="19">
        <f t="shared" si="0"/>
      </c>
      <c r="E8" s="19">
        <f t="shared" si="1"/>
      </c>
      <c r="F8" s="19">
        <f t="shared" si="2"/>
      </c>
      <c r="G8" s="19">
        <f t="shared" si="3"/>
      </c>
      <c r="H8" s="19" t="str">
        <f t="shared" si="4"/>
        <v>Clash</v>
      </c>
    </row>
    <row r="9" spans="1:8" ht="12.75">
      <c r="A9" s="5">
        <v>7</v>
      </c>
      <c r="C9" s="182">
        <v>0.5</v>
      </c>
      <c r="D9" s="18">
        <f t="shared" si="0"/>
      </c>
      <c r="E9" s="18">
        <f t="shared" si="1"/>
      </c>
      <c r="F9" s="18">
        <f t="shared" si="2"/>
      </c>
      <c r="G9" s="18">
        <f t="shared" si="3"/>
      </c>
      <c r="H9" s="18" t="str">
        <f>IF(ISERROR(O37),IF(ERROR.TYPE(O37)=3,"","Clash"),O37)</f>
        <v>Clash</v>
      </c>
    </row>
    <row r="10" spans="1:8" ht="12.75">
      <c r="A10" s="5">
        <v>7</v>
      </c>
      <c r="C10" s="183"/>
      <c r="D10" s="19">
        <f t="shared" si="0"/>
      </c>
      <c r="E10" s="19">
        <f t="shared" si="1"/>
      </c>
      <c r="F10" s="19">
        <f t="shared" si="2"/>
      </c>
      <c r="G10" s="19">
        <f t="shared" si="3"/>
      </c>
      <c r="H10" s="19" t="str">
        <f t="shared" si="4"/>
        <v>Clash</v>
      </c>
    </row>
    <row r="11" spans="1:13" ht="12.75">
      <c r="A11" s="29"/>
      <c r="C11" s="182">
        <v>0.5416666666666666</v>
      </c>
      <c r="D11" s="18">
        <f t="shared" si="0"/>
      </c>
      <c r="E11" s="18">
        <f t="shared" si="1"/>
      </c>
      <c r="F11" s="18">
        <f t="shared" si="2"/>
      </c>
      <c r="G11" s="18">
        <f t="shared" si="3"/>
      </c>
      <c r="H11" s="18" t="str">
        <f t="shared" si="4"/>
        <v>Clash</v>
      </c>
      <c r="M11" s="6"/>
    </row>
    <row r="12" spans="3:13" ht="12.75">
      <c r="C12" s="184"/>
      <c r="D12" s="19">
        <f t="shared" si="0"/>
      </c>
      <c r="E12" s="19">
        <f t="shared" si="1"/>
      </c>
      <c r="F12" s="19">
        <f t="shared" si="2"/>
      </c>
      <c r="G12" s="19">
        <f t="shared" si="3"/>
      </c>
      <c r="H12" s="19" t="str">
        <f t="shared" si="4"/>
        <v>Clash</v>
      </c>
      <c r="M12" s="6"/>
    </row>
    <row r="13" spans="3:13" ht="12.75">
      <c r="C13" s="182">
        <v>0.5833333333333334</v>
      </c>
      <c r="D13" s="18">
        <f t="shared" si="0"/>
      </c>
      <c r="E13" s="18">
        <f t="shared" si="1"/>
      </c>
      <c r="F13" s="18">
        <f t="shared" si="2"/>
      </c>
      <c r="G13" s="18">
        <f t="shared" si="3"/>
      </c>
      <c r="H13" s="18" t="str">
        <f t="shared" si="4"/>
        <v>Clash</v>
      </c>
      <c r="M13" s="6"/>
    </row>
    <row r="14" spans="3:13" ht="12.75">
      <c r="C14" s="183"/>
      <c r="D14" s="19">
        <f t="shared" si="0"/>
      </c>
      <c r="E14" s="19">
        <f t="shared" si="1"/>
      </c>
      <c r="F14" s="19">
        <f t="shared" si="2"/>
      </c>
      <c r="G14" s="19">
        <f t="shared" si="3"/>
      </c>
      <c r="H14" s="19" t="str">
        <f t="shared" si="4"/>
        <v>Clash</v>
      </c>
      <c r="M14" s="6"/>
    </row>
    <row r="15" spans="3:13" ht="12.75">
      <c r="C15" s="182">
        <v>0.625</v>
      </c>
      <c r="D15" s="18">
        <f t="shared" si="0"/>
      </c>
      <c r="E15" s="18">
        <f t="shared" si="1"/>
      </c>
      <c r="F15" s="18">
        <f t="shared" si="2"/>
      </c>
      <c r="G15" s="18">
        <f t="shared" si="3"/>
      </c>
      <c r="H15" s="18" t="str">
        <f t="shared" si="4"/>
        <v>Clash</v>
      </c>
      <c r="M15" s="6"/>
    </row>
    <row r="16" spans="3:13" ht="12.75">
      <c r="C16" s="183"/>
      <c r="D16" s="19">
        <f t="shared" si="0"/>
      </c>
      <c r="E16" s="19">
        <f t="shared" si="1"/>
      </c>
      <c r="F16" s="19">
        <f t="shared" si="2"/>
      </c>
      <c r="G16" s="19">
        <f t="shared" si="3"/>
      </c>
      <c r="H16" s="19" t="str">
        <f t="shared" si="4"/>
        <v>Clash</v>
      </c>
      <c r="J16" s="49"/>
      <c r="M16" s="6"/>
    </row>
    <row r="17" spans="3:8" ht="12.75">
      <c r="C17" s="182">
        <v>0.6666666666666666</v>
      </c>
      <c r="D17" s="18">
        <f t="shared" si="0"/>
      </c>
      <c r="E17" s="18">
        <f t="shared" si="1"/>
      </c>
      <c r="F17" s="18">
        <f t="shared" si="2"/>
      </c>
      <c r="G17" s="18">
        <f t="shared" si="3"/>
      </c>
      <c r="H17" s="18" t="str">
        <f t="shared" si="4"/>
        <v>Clash</v>
      </c>
    </row>
    <row r="18" spans="3:8" ht="12.75">
      <c r="C18" s="183"/>
      <c r="D18" s="19">
        <f t="shared" si="0"/>
      </c>
      <c r="E18" s="19">
        <f t="shared" si="1"/>
      </c>
      <c r="F18" s="19">
        <f t="shared" si="2"/>
      </c>
      <c r="G18" s="19">
        <f t="shared" si="3"/>
      </c>
      <c r="H18" s="19" t="str">
        <f t="shared" si="4"/>
        <v>Clash</v>
      </c>
    </row>
    <row r="19" spans="3:8" ht="12.75">
      <c r="C19" s="182">
        <v>0.7083333333333334</v>
      </c>
      <c r="D19" s="18">
        <f t="shared" si="0"/>
      </c>
      <c r="E19" s="18">
        <f t="shared" si="1"/>
      </c>
      <c r="F19" s="18">
        <f t="shared" si="2"/>
      </c>
      <c r="G19" s="18">
        <f t="shared" si="3"/>
      </c>
      <c r="H19" s="18" t="str">
        <f t="shared" si="4"/>
        <v>Clash</v>
      </c>
    </row>
    <row r="20" spans="3:8" ht="12.75">
      <c r="C20" s="183"/>
      <c r="D20" s="19">
        <f t="shared" si="0"/>
      </c>
      <c r="E20" s="19">
        <f t="shared" si="1"/>
      </c>
      <c r="F20" s="19">
        <f t="shared" si="2"/>
      </c>
      <c r="G20" s="19">
        <f t="shared" si="3"/>
      </c>
      <c r="H20" s="19" t="str">
        <f t="shared" si="4"/>
        <v>Clash</v>
      </c>
    </row>
    <row r="25" ht="83.25" customHeight="1" hidden="1"/>
    <row r="26" ht="12.75" hidden="1"/>
    <row r="27" ht="12.75" hidden="1"/>
    <row r="28" ht="12.75" hidden="1"/>
    <row r="29" ht="12.75" hidden="1">
      <c r="M29" s="2"/>
    </row>
    <row r="30" spans="11:15" ht="12.75" hidden="1">
      <c r="K30" s="2" t="s">
        <v>3</v>
      </c>
      <c r="L30" s="2" t="s">
        <v>4</v>
      </c>
      <c r="M30" s="2" t="s">
        <v>5</v>
      </c>
      <c r="N30" s="3" t="s">
        <v>6</v>
      </c>
      <c r="O30" s="3" t="s">
        <v>7</v>
      </c>
    </row>
    <row r="31" spans="10:15" ht="12.75" hidden="1">
      <c r="J31" s="177">
        <v>0.375</v>
      </c>
      <c r="K31" s="2" t="e">
        <f>DGET(_mon1,"code",Criteria1)</f>
        <v>#VALUE!</v>
      </c>
      <c r="L31" s="2" t="e">
        <f>DGET(_tue1,"code",Criteria1)</f>
        <v>#VALUE!</v>
      </c>
      <c r="M31" s="2" t="e">
        <f>DGET(_wed1,"code",Criteria1)</f>
        <v>#VALUE!</v>
      </c>
      <c r="N31" s="2" t="e">
        <f>DGET(_thu1,"code",Criteria1)</f>
        <v>#VALUE!</v>
      </c>
      <c r="O31" s="2" t="e">
        <f>DGET(_fri1,"code",Criteria1)</f>
        <v>#REF!</v>
      </c>
    </row>
    <row r="32" spans="10:15" ht="12.75" hidden="1">
      <c r="J32" s="178"/>
      <c r="K32" s="2" t="e">
        <f>DGET(_mon1,"room",Criteria1)</f>
        <v>#VALUE!</v>
      </c>
      <c r="L32" s="2" t="e">
        <f>DGET(_tue1,"room",Criteria1)</f>
        <v>#VALUE!</v>
      </c>
      <c r="M32" s="2" t="e">
        <f>DGET(_wed1,"room",Criteria1)</f>
        <v>#VALUE!</v>
      </c>
      <c r="N32" s="2" t="e">
        <f>DGET(_thu1,"room",Criteria1)</f>
        <v>#VALUE!</v>
      </c>
      <c r="O32" s="2" t="e">
        <f>DGET(_fri1,"room",Criteria1)</f>
        <v>#REF!</v>
      </c>
    </row>
    <row r="33" spans="10:15" ht="12.75" hidden="1">
      <c r="J33" s="177">
        <v>0.4166666666666667</v>
      </c>
      <c r="K33" s="2" t="e">
        <f>DGET(_mon2,"code",Criteria1)</f>
        <v>#REF!</v>
      </c>
      <c r="L33" s="2" t="e">
        <f>DGET(_tue2,"code",Criteria1)</f>
        <v>#REF!</v>
      </c>
      <c r="M33" s="2" t="e">
        <f>DGET(_wed2,"code",Criteria1)</f>
        <v>#REF!</v>
      </c>
      <c r="N33" s="2" t="e">
        <f>DGET(_thu2,"code",Criteria1)</f>
        <v>#REF!</v>
      </c>
      <c r="O33" s="2" t="e">
        <f>DGET(_fri2,"code",Criteria1)</f>
        <v>#REF!</v>
      </c>
    </row>
    <row r="34" spans="10:15" ht="12.75" hidden="1">
      <c r="J34" s="178"/>
      <c r="K34" s="2" t="e">
        <f>DGET(_mon2,"room",Criteria1)</f>
        <v>#REF!</v>
      </c>
      <c r="L34" s="2" t="e">
        <f>DGET(_tue2,"room",Criteria1)</f>
        <v>#REF!</v>
      </c>
      <c r="M34" s="2" t="e">
        <f>DGET(_wed2,"room",Criteria1)</f>
        <v>#REF!</v>
      </c>
      <c r="N34" s="2" t="e">
        <f>DGET(_thu2,"room",Criteria1)</f>
        <v>#REF!</v>
      </c>
      <c r="O34" s="2" t="e">
        <f>DGET(_fri2,"room",Criteria1)</f>
        <v>#REF!</v>
      </c>
    </row>
    <row r="35" spans="10:15" ht="12.75" hidden="1">
      <c r="J35" s="177">
        <v>0.4583333333333333</v>
      </c>
      <c r="K35" s="2" t="e">
        <f>DGET(_mon3,"code",Criteria1)</f>
        <v>#VALUE!</v>
      </c>
      <c r="L35" s="2" t="e">
        <f>DGET(_tue3,"code",Criteria1)</f>
        <v>#VALUE!</v>
      </c>
      <c r="M35" s="2" t="e">
        <f>DGET(_wed3,"code",Criteria1)</f>
        <v>#VALUE!</v>
      </c>
      <c r="N35" s="2" t="e">
        <f>DGET(_thu3,"code",Criteria1)</f>
        <v>#VALUE!</v>
      </c>
      <c r="O35" s="2" t="e">
        <f>DGET(_fri3,"code",Criteria1)</f>
        <v>#REF!</v>
      </c>
    </row>
    <row r="36" spans="10:15" ht="12.75" hidden="1">
      <c r="J36" s="178"/>
      <c r="K36" s="2" t="e">
        <f>DGET(_mon3,"room",Criteria1)</f>
        <v>#VALUE!</v>
      </c>
      <c r="L36" s="2" t="e">
        <f>DGET(_tue3,"room",Criteria1)</f>
        <v>#VALUE!</v>
      </c>
      <c r="M36" s="2" t="e">
        <f>DGET(_wed3,"room",Criteria1)</f>
        <v>#VALUE!</v>
      </c>
      <c r="N36" s="2" t="e">
        <f>DGET(_thu3,"room",Criteria1)</f>
        <v>#VALUE!</v>
      </c>
      <c r="O36" s="2" t="e">
        <f>DGET(_fri3,"room",Criteria1)</f>
        <v>#REF!</v>
      </c>
    </row>
    <row r="37" spans="10:15" ht="12.75" hidden="1">
      <c r="J37" s="177">
        <v>0.5</v>
      </c>
      <c r="K37" s="2" t="e">
        <f>DGET(_mon4,"code",Criteria1)</f>
        <v>#VALUE!</v>
      </c>
      <c r="L37" s="2" t="e">
        <f>DGET(_tue4,"code",Criteria1)</f>
        <v>#VALUE!</v>
      </c>
      <c r="M37" s="2" t="e">
        <f>DGET(_wed4,"code",Criteria1)</f>
        <v>#VALUE!</v>
      </c>
      <c r="N37" s="2" t="e">
        <f>DGET(_thu4,"code",Criteria1)</f>
        <v>#VALUE!</v>
      </c>
      <c r="O37" s="2" t="e">
        <f>DGET(_fri4,"code",Criteria1)</f>
        <v>#REF!</v>
      </c>
    </row>
    <row r="38" spans="10:15" ht="12.75" hidden="1">
      <c r="J38" s="178"/>
      <c r="K38" s="2" t="e">
        <f>DGET(_mon4,"room",Criteria1)</f>
        <v>#VALUE!</v>
      </c>
      <c r="L38" s="2" t="e">
        <f>DGET(_tue4,"room",Criteria1)</f>
        <v>#VALUE!</v>
      </c>
      <c r="M38" s="2" t="e">
        <f>DGET(_wed4,"room",Criteria1)</f>
        <v>#VALUE!</v>
      </c>
      <c r="N38" s="2" t="e">
        <f>DGET(_thu4,"room",Criteria1)</f>
        <v>#VALUE!</v>
      </c>
      <c r="O38" s="2" t="e">
        <f>DGET(_fri4,"room",Criteria1)</f>
        <v>#REF!</v>
      </c>
    </row>
    <row r="39" spans="10:15" ht="12.75" hidden="1">
      <c r="J39" s="177">
        <v>0.5416666666666666</v>
      </c>
      <c r="K39" s="2" t="e">
        <f>DGET(_mon5,"code",Criteria1)</f>
        <v>#VALUE!</v>
      </c>
      <c r="L39" s="2" t="e">
        <f>DGET(_tue5,"code",Criteria1)</f>
        <v>#VALUE!</v>
      </c>
      <c r="M39" s="2" t="e">
        <f>DGET(_wed5,"code",Criteria1)</f>
        <v>#VALUE!</v>
      </c>
      <c r="N39" s="2" t="e">
        <f>DGET(_thu5,"code",Criteria1)</f>
        <v>#VALUE!</v>
      </c>
      <c r="O39" s="2" t="e">
        <f>DGET(_fri5,"code",Criteria1)</f>
        <v>#REF!</v>
      </c>
    </row>
    <row r="40" spans="10:15" ht="12.75" hidden="1">
      <c r="J40" s="177"/>
      <c r="K40" s="2" t="e">
        <f>DGET(_mon5,"room",Criteria1)</f>
        <v>#VALUE!</v>
      </c>
      <c r="L40" s="2" t="e">
        <f>DGET(_tue5,"room",Criteria1)</f>
        <v>#VALUE!</v>
      </c>
      <c r="M40" s="2" t="e">
        <f>DGET(_wed5,"room",Criteria1)</f>
        <v>#VALUE!</v>
      </c>
      <c r="N40" s="2" t="e">
        <f>DGET(_thu5,"room",Criteria1)</f>
        <v>#VALUE!</v>
      </c>
      <c r="O40" s="2" t="e">
        <f>DGET(_fri5,"room",Criteria1)</f>
        <v>#REF!</v>
      </c>
    </row>
    <row r="41" spans="10:15" ht="12.75" hidden="1">
      <c r="J41" s="177">
        <v>0.5833333333333334</v>
      </c>
      <c r="K41" s="2" t="e">
        <f>DGET(_mon6,"code",Criteria1)</f>
        <v>#VALUE!</v>
      </c>
      <c r="L41" s="2" t="e">
        <f>DGET(_tue6,"code",Criteria1)</f>
        <v>#VALUE!</v>
      </c>
      <c r="M41" s="2" t="e">
        <f>DGET(_wed6,"code",Criteria1)</f>
        <v>#VALUE!</v>
      </c>
      <c r="N41" s="2" t="e">
        <f>DGET(_thu6,"code",Criteria1)</f>
        <v>#VALUE!</v>
      </c>
      <c r="O41" s="2" t="e">
        <f>DGET(_fri6,"code",Criteria1)</f>
        <v>#REF!</v>
      </c>
    </row>
    <row r="42" spans="10:15" ht="12.75" hidden="1">
      <c r="J42" s="178"/>
      <c r="K42" s="2" t="e">
        <f>DGET(_mon6,"room",Criteria1)</f>
        <v>#VALUE!</v>
      </c>
      <c r="L42" s="2" t="e">
        <f>DGET(_tue6,"room",Criteria1)</f>
        <v>#VALUE!</v>
      </c>
      <c r="M42" s="2" t="e">
        <f>DGET(_wed6,"room",Criteria1)</f>
        <v>#VALUE!</v>
      </c>
      <c r="N42" s="2" t="e">
        <f>DGET(_thu6,"room",Criteria1)</f>
        <v>#VALUE!</v>
      </c>
      <c r="O42" s="2" t="e">
        <f>DGET(_fri6,"room",Criteria1)</f>
        <v>#REF!</v>
      </c>
    </row>
    <row r="43" spans="10:15" ht="12.75" hidden="1">
      <c r="J43" s="177">
        <v>0.625</v>
      </c>
      <c r="K43" s="2" t="e">
        <f>DGET(_mon7,"code",Criteria1)</f>
        <v>#VALUE!</v>
      </c>
      <c r="L43" s="2" t="e">
        <f>DGET(_tue7,"code",Criteria1)</f>
        <v>#VALUE!</v>
      </c>
      <c r="M43" s="2" t="e">
        <f>DGET(_wed7,"code",Criteria1)</f>
        <v>#VALUE!</v>
      </c>
      <c r="N43" s="2" t="e">
        <f>DGET(_thu7,"code",Criteria1)</f>
        <v>#VALUE!</v>
      </c>
      <c r="O43" s="2" t="e">
        <f>DGET(_fri7,"code",Criteria1)</f>
        <v>#REF!</v>
      </c>
    </row>
    <row r="44" spans="10:15" ht="12.75" hidden="1">
      <c r="J44" s="178"/>
      <c r="K44" s="2" t="e">
        <f>DGET(_mon7,"room",Criteria1)</f>
        <v>#VALUE!</v>
      </c>
      <c r="L44" s="2" t="e">
        <f>DGET(_tue7,"room",Criteria1)</f>
        <v>#VALUE!</v>
      </c>
      <c r="M44" s="2" t="e">
        <f>DGET(_wed7,"room",Criteria1)</f>
        <v>#VALUE!</v>
      </c>
      <c r="N44" s="2" t="e">
        <f>DGET(_thu7,"room",Criteria1)</f>
        <v>#VALUE!</v>
      </c>
      <c r="O44" s="2" t="e">
        <f>DGET(_fri7,"room",Criteria1)</f>
        <v>#REF!</v>
      </c>
    </row>
    <row r="45" spans="10:15" ht="12.75" hidden="1">
      <c r="J45" s="177">
        <v>0.6666666666666666</v>
      </c>
      <c r="K45" s="2" t="e">
        <f>DGET(_mon8,"code",Criteria1)</f>
        <v>#VALUE!</v>
      </c>
      <c r="L45" s="2" t="e">
        <f>DGET(_tue8,"code",Criteria1)</f>
        <v>#VALUE!</v>
      </c>
      <c r="M45" s="2" t="e">
        <f>DGET(_wed8,"code",Criteria1)</f>
        <v>#VALUE!</v>
      </c>
      <c r="N45" s="2" t="e">
        <f>DGET(_thu8,"code",Criteria1)</f>
        <v>#VALUE!</v>
      </c>
      <c r="O45" s="2" t="e">
        <f>DGET(_fri8,"code",Criteria1)</f>
        <v>#REF!</v>
      </c>
    </row>
    <row r="46" spans="10:15" ht="12.75" hidden="1">
      <c r="J46" s="178"/>
      <c r="K46" s="2" t="e">
        <f>DGET(_mon8,"room",Criteria1)</f>
        <v>#VALUE!</v>
      </c>
      <c r="L46" s="2" t="e">
        <f>DGET(_tue8,"room",Criteria1)</f>
        <v>#VALUE!</v>
      </c>
      <c r="M46" s="2" t="e">
        <f>DGET(_wed8,"room",Criteria1)</f>
        <v>#VALUE!</v>
      </c>
      <c r="N46" s="2" t="e">
        <f>DGET(_thu8,"room",Criteria1)</f>
        <v>#VALUE!</v>
      </c>
      <c r="O46" s="2" t="e">
        <f>DGET(_fri8,"room",Criteria1)</f>
        <v>#REF!</v>
      </c>
    </row>
    <row r="47" spans="10:15" ht="12.75" hidden="1">
      <c r="J47" s="177">
        <v>0.7083333333333334</v>
      </c>
      <c r="K47" s="2" t="e">
        <f>DGET(_mon9,"code",Criteria1)</f>
        <v>#VALUE!</v>
      </c>
      <c r="L47" s="2" t="e">
        <f>DGET(_tue9,"code",Criteria1)</f>
        <v>#VALUE!</v>
      </c>
      <c r="M47" s="2" t="e">
        <f>DGET(_wed9,"code",Criteria1)</f>
        <v>#VALUE!</v>
      </c>
      <c r="N47" s="2" t="e">
        <f>DGET(_thu9,"code",Criteria1)</f>
        <v>#VALUE!</v>
      </c>
      <c r="O47" s="2" t="e">
        <f>DGET(_fri9,"code",Criteria1)</f>
        <v>#REF!</v>
      </c>
    </row>
    <row r="48" spans="10:15" ht="12.75" hidden="1">
      <c r="J48" s="178"/>
      <c r="K48" s="2" t="e">
        <f>DGET(_mon9,"room",Criteria1)</f>
        <v>#VALUE!</v>
      </c>
      <c r="L48" s="2" t="e">
        <f>DGET(_tue9,"room",Criteria1)</f>
        <v>#VALUE!</v>
      </c>
      <c r="M48" s="2" t="e">
        <f>DGET(_wed9,"room",Criteria1)</f>
        <v>#VALUE!</v>
      </c>
      <c r="N48" s="2" t="e">
        <f>DGET(_thu9,"room",Criteria1)</f>
        <v>#VALUE!</v>
      </c>
      <c r="O48" s="2" t="e">
        <f>DGET(_fri9,"room",Criteria1)</f>
        <v>#REF!</v>
      </c>
    </row>
    <row r="49" spans="10:15" ht="12.75" hidden="1">
      <c r="J49" s="177">
        <v>0.75</v>
      </c>
      <c r="K49" s="2" t="e">
        <f>DGET(_mon10,"code",Criteria1)</f>
        <v>#REF!</v>
      </c>
      <c r="L49" s="2" t="e">
        <f>DGET(_tue10,"code",Criteria1)</f>
        <v>#REF!</v>
      </c>
      <c r="M49" s="2" t="e">
        <f>DGET(_wed10,"code",Criteria1)</f>
        <v>#REF!</v>
      </c>
      <c r="N49" s="2" t="e">
        <f>DGET(_thu10,"code",Criteria1)</f>
        <v>#REF!</v>
      </c>
      <c r="O49" s="2" t="e">
        <f>DGET(_fri10,"code",Criteria1)</f>
        <v>#REF!</v>
      </c>
    </row>
    <row r="50" spans="10:15" ht="12.75" hidden="1">
      <c r="J50" s="178"/>
      <c r="K50" s="2" t="e">
        <f>DGET(_mon10,"room",Criteria1)</f>
        <v>#REF!</v>
      </c>
      <c r="L50" s="2" t="e">
        <f>DGET(_tue10,"room",Criteria1)</f>
        <v>#REF!</v>
      </c>
      <c r="M50" s="2" t="e">
        <f>DGET(_wed10,"room",Criteria1)</f>
        <v>#REF!</v>
      </c>
      <c r="N50" s="2" t="e">
        <f>DGET(_thu10,"room",Criteria1)</f>
        <v>#REF!</v>
      </c>
      <c r="O50" s="2" t="e">
        <f>DGET(_fri10,"room",Criteria1)</f>
        <v>#REF!</v>
      </c>
    </row>
    <row r="51" ht="12.75" hidden="1"/>
    <row r="52" ht="12.75" hidden="1"/>
    <row r="53" ht="12.75" hidden="1"/>
    <row r="54" ht="12.75" hidden="1"/>
    <row r="55" ht="12.75" hidden="1"/>
  </sheetData>
  <sheetProtection/>
  <mergeCells count="20">
    <mergeCell ref="J47:J48"/>
    <mergeCell ref="J49:J50"/>
    <mergeCell ref="C3:C4"/>
    <mergeCell ref="C5:C6"/>
    <mergeCell ref="C7:C8"/>
    <mergeCell ref="C9:C10"/>
    <mergeCell ref="C11:C12"/>
    <mergeCell ref="C13:C14"/>
    <mergeCell ref="J45:J46"/>
    <mergeCell ref="J31:J32"/>
    <mergeCell ref="J41:J42"/>
    <mergeCell ref="J43:J44"/>
    <mergeCell ref="C1:H1"/>
    <mergeCell ref="C19:C20"/>
    <mergeCell ref="J33:J34"/>
    <mergeCell ref="J35:J36"/>
    <mergeCell ref="J37:J38"/>
    <mergeCell ref="C15:C16"/>
    <mergeCell ref="C17:C18"/>
    <mergeCell ref="J39:J40"/>
  </mergeCells>
  <printOptions/>
  <pageMargins left="1.4960629921259843" right="0.7480314960629921" top="0.9055118110236221" bottom="7.440944881889764" header="0.4724409448818898" footer="7.086614173228347"/>
  <pageSetup fitToHeight="1" fitToWidth="1" horizontalDpi="600" verticalDpi="600" orientation="portrait" paperSize="9" scale="92" r:id="rId1"/>
  <headerFooter alignWithMargins="0">
    <oddHeader>&amp;C&amp;"Arial,Kalın"&amp;12Faculty of Engineering&amp;"Arial,Normal"&amp;10
SUMMER&amp;12 2015&amp;R&amp;D</oddHeader>
    <oddFooter>&amp;LNote: Laboratory sections of ENG102, ENG201, ENG203 and ENG205 should be arranged with your lecturersassistants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3" max="3" width="8.57421875" style="0" customWidth="1"/>
    <col min="4" max="4" width="26.7109375" style="0" customWidth="1"/>
    <col min="5" max="5" width="40.140625" style="0" customWidth="1"/>
    <col min="6" max="6" width="50.00390625" style="0" customWidth="1"/>
    <col min="7" max="7" width="33.00390625" style="0" customWidth="1"/>
    <col min="8" max="8" width="36.57421875" style="0" customWidth="1"/>
    <col min="9" max="10" width="6.421875" style="0" customWidth="1"/>
    <col min="11" max="11" width="7.57421875" style="0" customWidth="1"/>
  </cols>
  <sheetData>
    <row r="1" ht="12.75">
      <c r="A1" s="27" t="s">
        <v>2</v>
      </c>
    </row>
    <row r="2" ht="13.5" thickBot="1">
      <c r="A2" s="27" t="s">
        <v>81</v>
      </c>
    </row>
    <row r="3" spans="1:8" ht="13.5" thickTop="1">
      <c r="A3" s="47" t="s">
        <v>77</v>
      </c>
      <c r="C3" s="190" t="str">
        <f>LOOKUP(A2,K6:L18)</f>
        <v>Yrd.   Doç. Dr. HUseyin Lort</v>
      </c>
      <c r="D3" s="191"/>
      <c r="E3" s="191"/>
      <c r="F3" s="191"/>
      <c r="G3" s="191"/>
      <c r="H3" s="192"/>
    </row>
    <row r="4" spans="3:8" ht="13.5" thickBot="1">
      <c r="C4" s="193"/>
      <c r="D4" s="194"/>
      <c r="E4" s="194"/>
      <c r="F4" s="194"/>
      <c r="G4" s="194"/>
      <c r="H4" s="195"/>
    </row>
    <row r="5" spans="3:8" s="20" customFormat="1" ht="19.5" thickBot="1" thickTop="1">
      <c r="C5" s="21"/>
      <c r="D5" s="22" t="s">
        <v>3</v>
      </c>
      <c r="E5" s="23" t="s">
        <v>4</v>
      </c>
      <c r="F5" s="22" t="s">
        <v>5</v>
      </c>
      <c r="G5" s="24" t="s">
        <v>6</v>
      </c>
      <c r="H5" s="25" t="s">
        <v>7</v>
      </c>
    </row>
    <row r="6" spans="3:12" ht="18.75" thickTop="1">
      <c r="C6" s="185">
        <v>0.375</v>
      </c>
      <c r="D6" s="14">
        <f aca="true" t="shared" si="0" ref="D6:D23">IF(ISERROR(U32),"",U32)</f>
      </c>
      <c r="E6" s="14">
        <f aca="true" t="shared" si="1" ref="E6:E23">IF(ISERROR(V32),"",V32)</f>
      </c>
      <c r="F6" s="14">
        <f aca="true" t="shared" si="2" ref="F6:F23">IF(ISERROR(W32),"",W32)</f>
      </c>
      <c r="G6" s="14">
        <f aca="true" t="shared" si="3" ref="G6:G23">IF(ISERROR(X32),"",X32)</f>
      </c>
      <c r="H6" s="15">
        <f aca="true" t="shared" si="4" ref="H6:H23">IF(ISERROR(Y32),"",Y32)</f>
      </c>
      <c r="K6" s="47" t="s">
        <v>39</v>
      </c>
      <c r="L6" s="47" t="s">
        <v>75</v>
      </c>
    </row>
    <row r="7" spans="3:12" ht="18">
      <c r="C7" s="188"/>
      <c r="D7" s="11">
        <f t="shared" si="0"/>
      </c>
      <c r="E7" s="11">
        <f t="shared" si="1"/>
      </c>
      <c r="F7" s="11">
        <f t="shared" si="2"/>
      </c>
      <c r="G7" s="11">
        <f t="shared" si="3"/>
      </c>
      <c r="H7" s="17">
        <f t="shared" si="4"/>
      </c>
      <c r="K7" s="47" t="s">
        <v>9</v>
      </c>
      <c r="L7" s="47" t="s">
        <v>40</v>
      </c>
    </row>
    <row r="8" spans="3:12" ht="18">
      <c r="C8" s="185">
        <v>0.4166666666666667</v>
      </c>
      <c r="D8" s="14">
        <f t="shared" si="0"/>
      </c>
      <c r="E8" s="14">
        <f t="shared" si="1"/>
      </c>
      <c r="F8" s="14">
        <f t="shared" si="2"/>
      </c>
      <c r="G8" s="14">
        <f t="shared" si="3"/>
      </c>
      <c r="H8" s="15">
        <f t="shared" si="4"/>
      </c>
      <c r="K8" s="47" t="s">
        <v>0</v>
      </c>
      <c r="L8" s="47" t="s">
        <v>73</v>
      </c>
    </row>
    <row r="9" spans="3:12" ht="18">
      <c r="C9" s="186"/>
      <c r="D9" s="14">
        <f t="shared" si="0"/>
      </c>
      <c r="E9" s="14">
        <f t="shared" si="1"/>
      </c>
      <c r="F9" s="14">
        <f t="shared" si="2"/>
      </c>
      <c r="G9" s="14">
        <f t="shared" si="3"/>
      </c>
      <c r="H9" s="15">
        <f t="shared" si="4"/>
      </c>
      <c r="K9" s="47"/>
      <c r="L9" s="47"/>
    </row>
    <row r="10" spans="3:12" ht="18">
      <c r="C10" s="187">
        <v>0.4583333333333333</v>
      </c>
      <c r="D10" s="10">
        <f t="shared" si="0"/>
      </c>
      <c r="E10" s="10">
        <f t="shared" si="1"/>
      </c>
      <c r="F10" s="10">
        <f t="shared" si="2"/>
      </c>
      <c r="G10" s="10">
        <f t="shared" si="3"/>
      </c>
      <c r="H10" s="13">
        <f t="shared" si="4"/>
      </c>
      <c r="K10" s="47" t="s">
        <v>31</v>
      </c>
      <c r="L10" s="47" t="s">
        <v>41</v>
      </c>
    </row>
    <row r="11" spans="3:12" ht="18">
      <c r="C11" s="188"/>
      <c r="D11" s="11">
        <f t="shared" si="0"/>
      </c>
      <c r="E11" s="11">
        <f t="shared" si="1"/>
      </c>
      <c r="F11" s="11">
        <f t="shared" si="2"/>
      </c>
      <c r="G11" s="11">
        <f t="shared" si="3"/>
      </c>
      <c r="H11" s="17">
        <f t="shared" si="4"/>
      </c>
      <c r="K11" s="47" t="s">
        <v>42</v>
      </c>
      <c r="L11" s="47" t="s">
        <v>43</v>
      </c>
    </row>
    <row r="12" spans="3:12" ht="18">
      <c r="C12" s="185">
        <v>0.5</v>
      </c>
      <c r="D12" s="14">
        <f t="shared" si="0"/>
      </c>
      <c r="E12" s="14">
        <f t="shared" si="1"/>
      </c>
      <c r="F12" s="14">
        <f t="shared" si="2"/>
      </c>
      <c r="G12" s="14">
        <f t="shared" si="3"/>
      </c>
      <c r="H12" s="15">
        <f t="shared" si="4"/>
      </c>
      <c r="K12" s="47"/>
      <c r="L12" s="47"/>
    </row>
    <row r="13" spans="3:12" ht="18">
      <c r="C13" s="186"/>
      <c r="D13" s="14">
        <f t="shared" si="0"/>
      </c>
      <c r="E13" s="14">
        <f t="shared" si="1"/>
      </c>
      <c r="F13" s="14">
        <f t="shared" si="2"/>
      </c>
      <c r="G13" s="14">
        <f t="shared" si="3"/>
      </c>
      <c r="H13" s="15">
        <f t="shared" si="4"/>
      </c>
      <c r="K13" s="47" t="s">
        <v>76</v>
      </c>
      <c r="L13" s="47" t="s">
        <v>44</v>
      </c>
    </row>
    <row r="14" spans="3:12" ht="18">
      <c r="C14" s="187">
        <v>0.5416666666666666</v>
      </c>
      <c r="D14" s="10">
        <f t="shared" si="0"/>
      </c>
      <c r="E14" s="10">
        <f t="shared" si="1"/>
      </c>
      <c r="F14" s="10">
        <f t="shared" si="2"/>
      </c>
      <c r="G14" s="10">
        <f t="shared" si="3"/>
      </c>
      <c r="H14" s="13">
        <f t="shared" si="4"/>
      </c>
      <c r="K14" s="47" t="s">
        <v>45</v>
      </c>
      <c r="L14" s="47" t="s">
        <v>46</v>
      </c>
    </row>
    <row r="15" spans="3:12" ht="18">
      <c r="C15" s="187"/>
      <c r="D15" s="11">
        <f t="shared" si="0"/>
      </c>
      <c r="E15" s="11">
        <f t="shared" si="1"/>
      </c>
      <c r="F15" s="11">
        <f t="shared" si="2"/>
      </c>
      <c r="G15" s="11">
        <f t="shared" si="3"/>
      </c>
      <c r="H15" s="17">
        <f t="shared" si="4"/>
      </c>
      <c r="K15" s="47"/>
      <c r="L15" s="47"/>
    </row>
    <row r="16" spans="3:12" ht="18">
      <c r="C16" s="185">
        <v>0.5833333333333334</v>
      </c>
      <c r="D16" s="14">
        <f t="shared" si="0"/>
      </c>
      <c r="E16" s="14">
        <f t="shared" si="1"/>
      </c>
      <c r="F16" s="14">
        <f t="shared" si="2"/>
      </c>
      <c r="G16" s="14">
        <f t="shared" si="3"/>
      </c>
      <c r="H16" s="15">
        <f t="shared" si="4"/>
      </c>
      <c r="K16" s="47" t="s">
        <v>47</v>
      </c>
      <c r="L16" s="47" t="s">
        <v>48</v>
      </c>
    </row>
    <row r="17" spans="3:12" ht="18">
      <c r="C17" s="186"/>
      <c r="D17" s="14">
        <f t="shared" si="0"/>
      </c>
      <c r="E17" s="14">
        <f t="shared" si="1"/>
      </c>
      <c r="F17" s="14">
        <f t="shared" si="2"/>
      </c>
      <c r="G17" s="14">
        <f t="shared" si="3"/>
      </c>
      <c r="H17" s="15">
        <f t="shared" si="4"/>
      </c>
      <c r="K17" s="47"/>
      <c r="L17" s="47"/>
    </row>
    <row r="18" spans="3:12" ht="18">
      <c r="C18" s="187">
        <v>0.625</v>
      </c>
      <c r="D18" s="10">
        <f t="shared" si="0"/>
      </c>
      <c r="E18" s="10">
        <f t="shared" si="1"/>
      </c>
      <c r="F18" s="10">
        <f t="shared" si="2"/>
      </c>
      <c r="G18" s="10">
        <f t="shared" si="3"/>
      </c>
      <c r="H18" s="13">
        <f t="shared" si="4"/>
      </c>
      <c r="K18" s="47" t="s">
        <v>49</v>
      </c>
      <c r="L18" s="47" t="s">
        <v>66</v>
      </c>
    </row>
    <row r="19" spans="3:12" ht="18">
      <c r="C19" s="188"/>
      <c r="D19" s="11">
        <f t="shared" si="0"/>
      </c>
      <c r="E19" s="11">
        <f t="shared" si="1"/>
      </c>
      <c r="F19" s="11">
        <f t="shared" si="2"/>
      </c>
      <c r="G19" s="11">
        <f t="shared" si="3"/>
      </c>
      <c r="H19" s="17">
        <f t="shared" si="4"/>
      </c>
      <c r="L19" s="47"/>
    </row>
    <row r="20" spans="3:12" ht="18">
      <c r="C20" s="185">
        <v>0.6666666666666666</v>
      </c>
      <c r="D20" s="14">
        <f t="shared" si="0"/>
      </c>
      <c r="E20" s="14">
        <f t="shared" si="1"/>
      </c>
      <c r="F20" s="14">
        <f t="shared" si="2"/>
      </c>
      <c r="G20" s="14">
        <f t="shared" si="3"/>
      </c>
      <c r="H20" s="15">
        <f t="shared" si="4"/>
      </c>
      <c r="K20" s="47"/>
      <c r="L20" s="47"/>
    </row>
    <row r="21" spans="3:12" ht="18">
      <c r="C21" s="186"/>
      <c r="D21" s="14">
        <f t="shared" si="0"/>
      </c>
      <c r="E21" s="14">
        <f t="shared" si="1"/>
      </c>
      <c r="F21" s="14">
        <f t="shared" si="2"/>
      </c>
      <c r="G21" s="14">
        <f t="shared" si="3"/>
      </c>
      <c r="H21" s="15">
        <f t="shared" si="4"/>
      </c>
      <c r="K21" t="s">
        <v>51</v>
      </c>
      <c r="L21" t="s">
        <v>55</v>
      </c>
    </row>
    <row r="22" spans="3:12" ht="18">
      <c r="C22" s="187">
        <v>0.7083333333333334</v>
      </c>
      <c r="D22" s="10">
        <f t="shared" si="0"/>
      </c>
      <c r="E22" s="10">
        <f t="shared" si="1"/>
      </c>
      <c r="F22" s="10">
        <f t="shared" si="2"/>
      </c>
      <c r="G22" s="10">
        <f t="shared" si="3"/>
      </c>
      <c r="H22" s="13">
        <f t="shared" si="4"/>
      </c>
      <c r="K22" s="47" t="s">
        <v>56</v>
      </c>
      <c r="L22" s="47" t="s">
        <v>57</v>
      </c>
    </row>
    <row r="23" spans="3:8" ht="18.75" thickBot="1">
      <c r="C23" s="189"/>
      <c r="D23" s="12">
        <f t="shared" si="0"/>
      </c>
      <c r="E23" s="12">
        <f t="shared" si="1"/>
      </c>
      <c r="F23" s="12">
        <f t="shared" si="2"/>
      </c>
      <c r="G23" s="12">
        <f t="shared" si="3"/>
      </c>
      <c r="H23" s="16">
        <f t="shared" si="4"/>
      </c>
    </row>
    <row r="24" spans="3:8" ht="18.75" thickTop="1">
      <c r="C24" s="46"/>
      <c r="D24" s="26"/>
      <c r="E24" s="26"/>
      <c r="F24" s="26"/>
      <c r="G24" s="26"/>
      <c r="H24" s="26"/>
    </row>
    <row r="25" spans="3:12" ht="18">
      <c r="C25" s="46"/>
      <c r="D25" s="26"/>
      <c r="E25" s="26"/>
      <c r="F25" s="26"/>
      <c r="G25" s="26"/>
      <c r="H25" s="26"/>
      <c r="K25" t="s">
        <v>37</v>
      </c>
      <c r="L25" s="47" t="s">
        <v>58</v>
      </c>
    </row>
    <row r="27" spans="11:12" ht="12.75">
      <c r="K27" s="47"/>
      <c r="L27" s="47"/>
    </row>
    <row r="28" spans="11:12" ht="12.75">
      <c r="K28" s="47" t="s">
        <v>33</v>
      </c>
      <c r="L28" s="47" t="s">
        <v>59</v>
      </c>
    </row>
    <row r="29" spans="11:12" ht="12.75">
      <c r="K29" s="47"/>
      <c r="L29" s="47"/>
    </row>
    <row r="30" spans="11:12" ht="12.75">
      <c r="K30" s="47"/>
      <c r="L30" s="47"/>
    </row>
    <row r="31" spans="11:24" ht="12.75">
      <c r="K31" s="47" t="s">
        <v>53</v>
      </c>
      <c r="L31" s="47" t="s">
        <v>60</v>
      </c>
      <c r="T31" s="2" t="s">
        <v>3</v>
      </c>
      <c r="U31" s="2" t="s">
        <v>4</v>
      </c>
      <c r="V31" s="2" t="s">
        <v>5</v>
      </c>
      <c r="W31" s="3" t="s">
        <v>6</v>
      </c>
      <c r="X31" s="3" t="s">
        <v>7</v>
      </c>
    </row>
    <row r="32" spans="11:25" ht="12.75">
      <c r="K32" s="47"/>
      <c r="L32" s="47"/>
      <c r="M32" s="2"/>
      <c r="T32" s="177">
        <v>0.375</v>
      </c>
      <c r="U32" s="2" t="e">
        <f>DGET(_mon1,"code",criteria3)</f>
        <v>#VALUE!</v>
      </c>
      <c r="V32" s="2" t="e">
        <f>DGET(_tue1,"code",criteria3)</f>
        <v>#VALUE!</v>
      </c>
      <c r="W32" s="2" t="e">
        <f>DGET(_wed1,"code",criteria3)</f>
        <v>#VALUE!</v>
      </c>
      <c r="X32" s="2" t="e">
        <f>DGET(_thu1,"code",criteria3)</f>
        <v>#VALUE!</v>
      </c>
      <c r="Y32" s="2" t="e">
        <f>DGET(_fri1,"code",criteria3)</f>
        <v>#REF!</v>
      </c>
    </row>
    <row r="33" spans="11:25" ht="12.75">
      <c r="K33" s="47" t="s">
        <v>35</v>
      </c>
      <c r="L33" s="47" t="s">
        <v>61</v>
      </c>
      <c r="T33" s="178"/>
      <c r="U33" s="2" t="e">
        <f>DGET(_mon1,"room",criteria3)</f>
        <v>#VALUE!</v>
      </c>
      <c r="V33" s="2" t="e">
        <f>DGET(_tue1,"room",criteria3)</f>
        <v>#VALUE!</v>
      </c>
      <c r="W33" s="2" t="e">
        <f>DGET(_wed1,"room",criteria3)</f>
        <v>#VALUE!</v>
      </c>
      <c r="X33" s="2" t="e">
        <f>DGET(_thu1,"room",criteria3)</f>
        <v>#VALUE!</v>
      </c>
      <c r="Y33" s="2" t="e">
        <f>DGET(_fri1,"room",criteria3)</f>
        <v>#REF!</v>
      </c>
    </row>
    <row r="34" spans="11:25" ht="12.75">
      <c r="K34" s="47"/>
      <c r="L34" s="47"/>
      <c r="T34" s="177">
        <v>0.4166666666666667</v>
      </c>
      <c r="U34" s="2" t="e">
        <f>DGET(_mon2,"code",criteria3)</f>
        <v>#REF!</v>
      </c>
      <c r="V34" s="2" t="e">
        <f>DGET(_tue2,"code",criteria3)</f>
        <v>#REF!</v>
      </c>
      <c r="W34" s="2" t="e">
        <f>DGET(_wed2,"code",criteria3)</f>
        <v>#REF!</v>
      </c>
      <c r="X34" s="2" t="e">
        <f>DGET(_thu2,"code",criteria3)</f>
        <v>#REF!</v>
      </c>
      <c r="Y34" s="2" t="e">
        <f>DGET(_fri2,"code",criteria3)</f>
        <v>#REF!</v>
      </c>
    </row>
    <row r="35" spans="11:25" ht="12.75">
      <c r="K35" s="47" t="s">
        <v>38</v>
      </c>
      <c r="L35" s="47" t="s">
        <v>62</v>
      </c>
      <c r="T35" s="178"/>
      <c r="U35" s="2" t="e">
        <f>DGET(_mon2,"room",criteria3)</f>
        <v>#REF!</v>
      </c>
      <c r="V35" s="2" t="e">
        <f>DGET(_tue2,"room",criteria3)</f>
        <v>#REF!</v>
      </c>
      <c r="W35" s="2" t="e">
        <f>DGET(_wed2,"room",criteria3)</f>
        <v>#REF!</v>
      </c>
      <c r="X35" s="2" t="e">
        <f>DGET(_thu2,"room",criteria3)</f>
        <v>#REF!</v>
      </c>
      <c r="Y35" s="2" t="e">
        <f>DGET(_fri2,"room",criteria3)</f>
        <v>#REF!</v>
      </c>
    </row>
    <row r="36" spans="11:25" ht="12.75">
      <c r="K36" s="47"/>
      <c r="L36" s="47"/>
      <c r="T36" s="177">
        <v>0.4583333333333333</v>
      </c>
      <c r="U36" s="2" t="e">
        <f>DGET(_mon3,"code",criteria3)</f>
        <v>#VALUE!</v>
      </c>
      <c r="V36" s="2" t="e">
        <f>DGET(_tue3,"code",criteria3)</f>
        <v>#VALUE!</v>
      </c>
      <c r="W36" s="2" t="e">
        <f>DGET(_wed3,"code",criteria3)</f>
        <v>#VALUE!</v>
      </c>
      <c r="X36" s="2" t="e">
        <f>DGET(_thu3,"code",criteria3)</f>
        <v>#VALUE!</v>
      </c>
      <c r="Y36" s="2" t="e">
        <f>DGET(_fri3,"code",criteria3)</f>
        <v>#REF!</v>
      </c>
    </row>
    <row r="37" spans="11:25" ht="12.75">
      <c r="K37" s="47" t="s">
        <v>50</v>
      </c>
      <c r="L37" s="47" t="s">
        <v>63</v>
      </c>
      <c r="T37" s="178"/>
      <c r="U37" s="2" t="e">
        <f>DGET(_mon3,"room",criteria3)</f>
        <v>#VALUE!</v>
      </c>
      <c r="V37" s="2" t="e">
        <f>DGET(_tue3,"room",criteria3)</f>
        <v>#VALUE!</v>
      </c>
      <c r="W37" s="2" t="e">
        <f>DGET(_wed3,"room",criteria3)</f>
        <v>#VALUE!</v>
      </c>
      <c r="X37" s="2" t="e">
        <f>DGET(_thu3,"room",criteria3)</f>
        <v>#VALUE!</v>
      </c>
      <c r="Y37" s="2" t="e">
        <f>DGET(_fri3,"room",criteria3)</f>
        <v>#REF!</v>
      </c>
    </row>
    <row r="38" spans="11:25" ht="12.75">
      <c r="K38" s="47" t="s">
        <v>34</v>
      </c>
      <c r="L38" s="47" t="s">
        <v>74</v>
      </c>
      <c r="T38" s="177">
        <v>0.5</v>
      </c>
      <c r="U38" s="2" t="e">
        <f>DGET(_mon4,"code",criteria3)</f>
        <v>#VALUE!</v>
      </c>
      <c r="V38" s="2" t="e">
        <f>DGET(_tue4,"code",criteria3)</f>
        <v>#VALUE!</v>
      </c>
      <c r="W38" s="2" t="e">
        <f>DGET(_wed4,"code",criteria3)</f>
        <v>#VALUE!</v>
      </c>
      <c r="X38" s="2" t="e">
        <f>DGET(_thu4,"code",criteria3)</f>
        <v>#VALUE!</v>
      </c>
      <c r="Y38" s="2" t="e">
        <f>DGET(_fri4,"code",criteria3)</f>
        <v>#REF!</v>
      </c>
    </row>
    <row r="39" spans="11:25" ht="12.75">
      <c r="K39" s="47" t="s">
        <v>52</v>
      </c>
      <c r="L39" s="47" t="s">
        <v>64</v>
      </c>
      <c r="T39" s="178"/>
      <c r="U39" s="2" t="e">
        <f>DGET(_mon4,"room",criteria3)</f>
        <v>#VALUE!</v>
      </c>
      <c r="V39" s="2" t="e">
        <f>DGET(_tue4,"room",criteria3)</f>
        <v>#VALUE!</v>
      </c>
      <c r="W39" s="2" t="e">
        <f>DGET(_wed4,"room",criteria3)</f>
        <v>#VALUE!</v>
      </c>
      <c r="X39" s="2" t="e">
        <f>DGET(_thu4,"room",criteria3)</f>
        <v>#VALUE!</v>
      </c>
      <c r="Y39" s="2" t="e">
        <f>DGET(_fri4,"room",criteria3)</f>
        <v>#REF!</v>
      </c>
    </row>
    <row r="40" spans="11:25" ht="12.75">
      <c r="K40" s="47" t="s">
        <v>32</v>
      </c>
      <c r="L40" s="47" t="s">
        <v>65</v>
      </c>
      <c r="T40" s="177">
        <v>0.5416666666666666</v>
      </c>
      <c r="U40" s="2" t="e">
        <f>DGET(_mon5,"code",criteria3)</f>
        <v>#VALUE!</v>
      </c>
      <c r="V40" s="2" t="e">
        <f>DGET(_tue5,"code",criteria3)</f>
        <v>#VALUE!</v>
      </c>
      <c r="W40" s="2" t="e">
        <f>DGET(_wed5,"code",criteria3)</f>
        <v>#VALUE!</v>
      </c>
      <c r="X40" s="2" t="e">
        <f>DGET(_thu5,"code",criteria3)</f>
        <v>#VALUE!</v>
      </c>
      <c r="Y40" s="2" t="e">
        <f>DGET(_fri5,"code",criteria3)</f>
        <v>#REF!</v>
      </c>
    </row>
    <row r="41" spans="11:25" ht="12.75">
      <c r="K41" s="47"/>
      <c r="L41" s="47"/>
      <c r="T41" s="177"/>
      <c r="U41" s="2" t="e">
        <f>DGET(_mon5,"room",criteria3)</f>
        <v>#VALUE!</v>
      </c>
      <c r="V41" s="2" t="e">
        <f>DGET(_tue5,"room",criteria3)</f>
        <v>#VALUE!</v>
      </c>
      <c r="W41" s="2" t="e">
        <f>DGET(_wed5,"room",criteria3)</f>
        <v>#VALUE!</v>
      </c>
      <c r="X41" s="2" t="e">
        <f>DGET(_thu5,"room",criteria3)</f>
        <v>#VALUE!</v>
      </c>
      <c r="Y41" s="2" t="e">
        <f>DGET(_fri5,"room",criteria3)</f>
        <v>#REF!</v>
      </c>
    </row>
    <row r="42" spans="11:25" ht="12.75">
      <c r="K42" s="47"/>
      <c r="L42" s="47"/>
      <c r="T42" s="177">
        <v>0.5833333333333334</v>
      </c>
      <c r="U42" s="2" t="e">
        <f>DGET(_mon6,"code",criteria3)</f>
        <v>#VALUE!</v>
      </c>
      <c r="V42" s="2" t="e">
        <f>DGET(_tue6,"code",criteria3)</f>
        <v>#VALUE!</v>
      </c>
      <c r="W42" s="2" t="e">
        <f>DGET(_wed6,"code",criteria3)</f>
        <v>#VALUE!</v>
      </c>
      <c r="X42" s="2" t="e">
        <f>DGET(_thu6,"code",criteria3)</f>
        <v>#VALUE!</v>
      </c>
      <c r="Y42" s="2" t="e">
        <f>DGET(_fri6,"code",criteria3)</f>
        <v>#REF!</v>
      </c>
    </row>
    <row r="43" spans="11:25" ht="12.75">
      <c r="K43" s="47"/>
      <c r="L43" s="47"/>
      <c r="T43" s="178"/>
      <c r="U43" s="2" t="e">
        <f>DGET(_mon6,"room",criteria3)</f>
        <v>#VALUE!</v>
      </c>
      <c r="V43" s="2" t="e">
        <f>DGET(_tue6,"room",criteria3)</f>
        <v>#VALUE!</v>
      </c>
      <c r="W43" s="2" t="e">
        <f>DGET(_wed6,"room",criteria3)</f>
        <v>#VALUE!</v>
      </c>
      <c r="X43" s="2" t="e">
        <f>DGET(_thu6,"room",criteria3)</f>
        <v>#VALUE!</v>
      </c>
      <c r="Y43" s="2" t="e">
        <f>DGET(_fri6,"room",criteria3)</f>
        <v>#REF!</v>
      </c>
    </row>
    <row r="44" spans="11:25" ht="12.75">
      <c r="K44" s="47"/>
      <c r="L44" s="47"/>
      <c r="T44" s="177">
        <v>0.625</v>
      </c>
      <c r="U44" s="2" t="e">
        <f>DGET(_mon7,"code",criteria3)</f>
        <v>#VALUE!</v>
      </c>
      <c r="V44" s="2" t="e">
        <f>DGET(_tue7,"code",criteria3)</f>
        <v>#VALUE!</v>
      </c>
      <c r="W44" s="2" t="e">
        <f>DGET(_wed7,"code",criteria3)</f>
        <v>#VALUE!</v>
      </c>
      <c r="X44" s="2" t="e">
        <f>DGET(_thu7,"code",criteria3)</f>
        <v>#VALUE!</v>
      </c>
      <c r="Y44" s="2" t="e">
        <f>DGET(_fri7,"code",criteria3)</f>
        <v>#REF!</v>
      </c>
    </row>
    <row r="45" spans="11:25" ht="12.75">
      <c r="K45" s="47" t="s">
        <v>54</v>
      </c>
      <c r="L45" s="47" t="s">
        <v>67</v>
      </c>
      <c r="T45" s="178"/>
      <c r="U45" s="2" t="e">
        <f>DGET(_mon7,"room",criteria3)</f>
        <v>#VALUE!</v>
      </c>
      <c r="V45" s="2" t="e">
        <f>DGET(_tue7,"room",criteria3)</f>
        <v>#VALUE!</v>
      </c>
      <c r="W45" s="2" t="e">
        <f>DGET(_wed7,"room",criteria3)</f>
        <v>#VALUE!</v>
      </c>
      <c r="X45" s="2" t="e">
        <f>DGET(_thu7,"room",criteria3)</f>
        <v>#VALUE!</v>
      </c>
      <c r="Y45" s="2" t="e">
        <f>DGET(_fri7,"room",criteria3)</f>
        <v>#REF!</v>
      </c>
    </row>
    <row r="46" spans="11:25" ht="12.75">
      <c r="K46" s="47" t="s">
        <v>68</v>
      </c>
      <c r="L46" s="47" t="s">
        <v>69</v>
      </c>
      <c r="T46" s="177">
        <v>0.6666666666666666</v>
      </c>
      <c r="U46" s="2" t="e">
        <f>DGET(_mon8,"code",criteria3)</f>
        <v>#VALUE!</v>
      </c>
      <c r="V46" s="2" t="e">
        <f>DGET(_tue8,"code",criteria3)</f>
        <v>#VALUE!</v>
      </c>
      <c r="W46" s="2" t="e">
        <f>DGET(_wed8,"code",criteria3)</f>
        <v>#VALUE!</v>
      </c>
      <c r="X46" s="2" t="e">
        <f>DGET(_thu8,"code",criteria3)</f>
        <v>#VALUE!</v>
      </c>
      <c r="Y46" s="2" t="e">
        <f>DGET(_fri8,"code",criteria3)</f>
        <v>#REF!</v>
      </c>
    </row>
    <row r="47" spans="11:25" ht="12.75">
      <c r="K47" s="47"/>
      <c r="L47" s="47"/>
      <c r="T47" s="178"/>
      <c r="U47" s="2" t="e">
        <f>DGET(_mon8,"room",criteria3)</f>
        <v>#VALUE!</v>
      </c>
      <c r="V47" s="2" t="e">
        <f>DGET(_tue8,"room",criteria3)</f>
        <v>#VALUE!</v>
      </c>
      <c r="W47" s="2" t="e">
        <f>DGET(_wed8,"room",criteria3)</f>
        <v>#VALUE!</v>
      </c>
      <c r="X47" s="2" t="e">
        <f>DGET(_thu8,"room",criteria3)</f>
        <v>#VALUE!</v>
      </c>
      <c r="Y47" s="2" t="e">
        <f>DGET(_fri8,"room",criteria3)</f>
        <v>#REF!</v>
      </c>
    </row>
    <row r="48" spans="11:25" ht="12.75">
      <c r="K48" s="47" t="s">
        <v>70</v>
      </c>
      <c r="L48" s="47" t="s">
        <v>71</v>
      </c>
      <c r="T48" s="177">
        <v>0.7083333333333334</v>
      </c>
      <c r="U48" s="2" t="e">
        <f>DGET(_mon9,"code",criteria3)</f>
        <v>#VALUE!</v>
      </c>
      <c r="V48" s="2" t="e">
        <f>DGET(_tue9,"code",criteria3)</f>
        <v>#VALUE!</v>
      </c>
      <c r="W48" s="2" t="e">
        <f>DGET(_wed9,"code",criteria3)</f>
        <v>#VALUE!</v>
      </c>
      <c r="X48" s="2" t="e">
        <f>DGET(_thu9,"code",criteria3)</f>
        <v>#VALUE!</v>
      </c>
      <c r="Y48" s="2" t="e">
        <f>DGET(_fri9,"code",criteria3)</f>
        <v>#REF!</v>
      </c>
    </row>
    <row r="49" spans="11:25" ht="12.75">
      <c r="K49" s="47"/>
      <c r="L49" s="47"/>
      <c r="T49" s="178"/>
      <c r="U49" s="2" t="e">
        <f>DGET(_mon9,"room",criteria3)</f>
        <v>#VALUE!</v>
      </c>
      <c r="V49" s="2" t="e">
        <f>DGET(_tue9,"room",criteria3)</f>
        <v>#VALUE!</v>
      </c>
      <c r="W49" s="2" t="e">
        <f>DGET(_wed9,"room",criteria3)</f>
        <v>#VALUE!</v>
      </c>
      <c r="X49" s="2" t="e">
        <f>DGET(_thu9,"room",criteria3)</f>
        <v>#VALUE!</v>
      </c>
      <c r="Y49" s="2" t="e">
        <f>DGET(_fri9,"room",criteria3)</f>
        <v>#REF!</v>
      </c>
    </row>
    <row r="50" spans="11:12" ht="12.75">
      <c r="K50" s="47" t="s">
        <v>36</v>
      </c>
      <c r="L50" s="47" t="s">
        <v>72</v>
      </c>
    </row>
    <row r="51" spans="11:18" ht="12.75">
      <c r="K51" s="47"/>
      <c r="L51" s="47"/>
      <c r="M51" s="177"/>
      <c r="N51" s="2"/>
      <c r="O51" s="2"/>
      <c r="P51" s="2"/>
      <c r="Q51" s="2"/>
      <c r="R51" s="2"/>
    </row>
    <row r="52" spans="11:18" ht="12.75">
      <c r="K52" s="47"/>
      <c r="L52" s="47"/>
      <c r="M52" s="178"/>
      <c r="N52" s="2"/>
      <c r="O52" s="2"/>
      <c r="P52" s="2"/>
      <c r="Q52" s="2"/>
      <c r="R52" s="2"/>
    </row>
  </sheetData>
  <sheetProtection/>
  <mergeCells count="20">
    <mergeCell ref="M51:M52"/>
    <mergeCell ref="T40:T41"/>
    <mergeCell ref="T42:T43"/>
    <mergeCell ref="T44:T45"/>
    <mergeCell ref="T46:T47"/>
    <mergeCell ref="C3:H4"/>
    <mergeCell ref="C6:C7"/>
    <mergeCell ref="C8:C9"/>
    <mergeCell ref="C10:C11"/>
    <mergeCell ref="T48:T49"/>
    <mergeCell ref="T36:T37"/>
    <mergeCell ref="T38:T39"/>
    <mergeCell ref="C12:C13"/>
    <mergeCell ref="C14:C15"/>
    <mergeCell ref="C16:C17"/>
    <mergeCell ref="C18:C19"/>
    <mergeCell ref="C20:C21"/>
    <mergeCell ref="C22:C23"/>
    <mergeCell ref="T32:T33"/>
    <mergeCell ref="T34:T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&amp;C&amp;"Arial,Kalın"&amp;14FACULTY OF ENGINEERING &amp;"Arial,Normal"
SUMMER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49">
      <selection activeCell="B14" sqref="B14"/>
    </sheetView>
  </sheetViews>
  <sheetFormatPr defaultColWidth="9.140625" defaultRowHeight="12.75"/>
  <cols>
    <col min="1" max="1" width="12.00390625" style="31" customWidth="1"/>
    <col min="2" max="2" width="37.00390625" style="31" bestFit="1" customWidth="1"/>
    <col min="3" max="3" width="18.00390625" style="31" customWidth="1"/>
    <col min="4" max="4" width="9.140625" style="41" customWidth="1"/>
    <col min="5" max="16384" width="9.140625" style="31" customWidth="1"/>
  </cols>
  <sheetData>
    <row r="5" spans="1:4" ht="18">
      <c r="A5" s="196"/>
      <c r="B5" s="196"/>
      <c r="C5" s="196"/>
      <c r="D5" s="196"/>
    </row>
    <row r="6" spans="1:4" ht="15">
      <c r="A6" s="34"/>
      <c r="B6" s="33"/>
      <c r="C6" s="30"/>
      <c r="D6" s="30"/>
    </row>
    <row r="7" spans="1:4" ht="15">
      <c r="A7" s="39"/>
      <c r="B7" s="39"/>
      <c r="C7" s="30"/>
      <c r="D7" s="44"/>
    </row>
    <row r="8" spans="1:4" ht="15">
      <c r="A8" s="34"/>
      <c r="B8" s="33"/>
      <c r="C8" s="30"/>
      <c r="D8" s="30"/>
    </row>
    <row r="9" spans="1:4" s="38" customFormat="1" ht="15">
      <c r="A9" s="33"/>
      <c r="B9" s="33"/>
      <c r="C9" s="30"/>
      <c r="D9" s="44"/>
    </row>
    <row r="10" spans="1:4" s="38" customFormat="1" ht="15">
      <c r="A10" s="33"/>
      <c r="B10" s="33"/>
      <c r="C10" s="30"/>
      <c r="D10" s="44"/>
    </row>
    <row r="11" spans="1:4" s="38" customFormat="1" ht="15">
      <c r="A11" s="33"/>
      <c r="B11" s="33"/>
      <c r="C11" s="30"/>
      <c r="D11" s="44"/>
    </row>
    <row r="12" spans="1:4" s="38" customFormat="1" ht="15">
      <c r="A12" s="36"/>
      <c r="B12" s="36"/>
      <c r="C12" s="37"/>
      <c r="D12" s="32"/>
    </row>
    <row r="13" spans="1:4" ht="18">
      <c r="A13" s="196"/>
      <c r="B13" s="196"/>
      <c r="C13" s="196"/>
      <c r="D13" s="196"/>
    </row>
    <row r="14" spans="1:4" ht="14.25">
      <c r="A14" s="40"/>
      <c r="B14" s="40"/>
      <c r="C14" s="30"/>
      <c r="D14" s="43"/>
    </row>
    <row r="15" spans="1:4" ht="15">
      <c r="A15" s="34"/>
      <c r="B15" s="33"/>
      <c r="C15" s="30"/>
      <c r="D15" s="30"/>
    </row>
    <row r="16" spans="1:4" ht="15">
      <c r="A16" s="34"/>
      <c r="B16" s="33"/>
      <c r="C16" s="30"/>
      <c r="D16" s="43"/>
    </row>
    <row r="17" spans="1:4" ht="15">
      <c r="A17" s="39"/>
      <c r="B17" s="39"/>
      <c r="C17" s="30"/>
      <c r="D17" s="43"/>
    </row>
    <row r="18" spans="1:4" ht="15">
      <c r="A18" s="34"/>
      <c r="B18" s="33"/>
      <c r="C18" s="30"/>
      <c r="D18" s="43"/>
    </row>
    <row r="19" spans="1:4" ht="15">
      <c r="A19" s="34"/>
      <c r="B19" s="42"/>
      <c r="C19" s="30"/>
      <c r="D19" s="30"/>
    </row>
    <row r="20" spans="1:4" ht="15">
      <c r="A20" s="34"/>
      <c r="B20" s="33"/>
      <c r="C20" s="30"/>
      <c r="D20" s="30"/>
    </row>
    <row r="23" spans="1:4" ht="18">
      <c r="A23" s="196"/>
      <c r="B23" s="196"/>
      <c r="C23" s="196"/>
      <c r="D23" s="196"/>
    </row>
    <row r="24" spans="1:4" ht="15">
      <c r="A24" s="35"/>
      <c r="B24" s="45"/>
      <c r="C24" s="30"/>
      <c r="D24" s="44"/>
    </row>
    <row r="25" spans="1:4" ht="15">
      <c r="A25" s="33"/>
      <c r="B25" s="33"/>
      <c r="C25" s="30"/>
      <c r="D25" s="44"/>
    </row>
    <row r="26" spans="1:4" ht="15">
      <c r="A26" s="33"/>
      <c r="B26" s="33"/>
      <c r="C26" s="30"/>
      <c r="D26" s="44"/>
    </row>
    <row r="27" spans="1:4" ht="15">
      <c r="A27" s="39"/>
      <c r="B27" s="39"/>
      <c r="C27" s="30"/>
      <c r="D27" s="44"/>
    </row>
  </sheetData>
  <sheetProtection/>
  <mergeCells count="3">
    <mergeCell ref="A5:D5"/>
    <mergeCell ref="A13:D13"/>
    <mergeCell ref="A23:D23"/>
  </mergeCells>
  <conditionalFormatting sqref="A6:B8 A25:B26 D24:D27 D6:D9 A12:D12">
    <cfRule type="cellIs" priority="1" dxfId="0" operator="equal" stopIfTrue="1">
      <formula>electives!#REF!</formula>
    </cfRule>
  </conditionalFormatting>
  <conditionalFormatting sqref="A14:B19 A27:B27 A24:B24 A9:B10">
    <cfRule type="cellIs" priority="2" dxfId="0" operator="equal" stopIfTrue="1">
      <formula>electives!#REF!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kdimilliler</dc:creator>
  <cp:keywords/>
  <dc:description/>
  <cp:lastModifiedBy>Dell</cp:lastModifiedBy>
  <cp:lastPrinted>2017-11-06T14:46:18Z</cp:lastPrinted>
  <dcterms:created xsi:type="dcterms:W3CDTF">2005-09-20T05:59:45Z</dcterms:created>
  <dcterms:modified xsi:type="dcterms:W3CDTF">2019-11-15T18:37:11Z</dcterms:modified>
  <cp:category/>
  <cp:version/>
  <cp:contentType/>
  <cp:contentStatus/>
</cp:coreProperties>
</file>